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информация" sheetId="1" r:id="rId1"/>
    <sheet name="отчет" sheetId="2" r:id="rId2"/>
    <sheet name="сметы" sheetId="3" r:id="rId3"/>
  </sheets>
  <definedNames/>
  <calcPr fullCalcOnLoad="1"/>
</workbook>
</file>

<file path=xl/sharedStrings.xml><?xml version="1.0" encoding="utf-8"?>
<sst xmlns="http://schemas.openxmlformats.org/spreadsheetml/2006/main" count="1536" uniqueCount="280">
  <si>
    <t>Информация по утверждению размера платы за содержание и текущий ремонт жилого помещения</t>
  </si>
  <si>
    <t>№</t>
  </si>
  <si>
    <t>Адреса домов</t>
  </si>
  <si>
    <t>год</t>
  </si>
  <si>
    <t>материал</t>
  </si>
  <si>
    <t>стен</t>
  </si>
  <si>
    <t>лифта</t>
  </si>
  <si>
    <t>кол-во</t>
  </si>
  <si>
    <t>жильцов</t>
  </si>
  <si>
    <t xml:space="preserve">общая </t>
  </si>
  <si>
    <t>площадь</t>
  </si>
  <si>
    <t>предложенный</t>
  </si>
  <si>
    <t>УК для</t>
  </si>
  <si>
    <t>жилого</t>
  </si>
  <si>
    <t>за</t>
  </si>
  <si>
    <t xml:space="preserve">текущий </t>
  </si>
  <si>
    <t>ремонт</t>
  </si>
  <si>
    <t>Размер платы,</t>
  </si>
  <si>
    <t>Установленный</t>
  </si>
  <si>
    <t xml:space="preserve">размер платы </t>
  </si>
  <si>
    <t>на 2010 год</t>
  </si>
  <si>
    <t>Рост</t>
  </si>
  <si>
    <t>размера</t>
  </si>
  <si>
    <t xml:space="preserve">платы </t>
  </si>
  <si>
    <t>и ремонт</t>
  </si>
  <si>
    <t>в %</t>
  </si>
  <si>
    <t>Отчет о выполнении работ по содержанию и ремонту общего имущества</t>
  </si>
  <si>
    <t>Наименование работ</t>
  </si>
  <si>
    <t>Предусмотрено</t>
  </si>
  <si>
    <t>в размере платы</t>
  </si>
  <si>
    <t>на 2009 год</t>
  </si>
  <si>
    <t xml:space="preserve">Фактическое </t>
  </si>
  <si>
    <t>выполнение</t>
  </si>
  <si>
    <t>в 2009 году</t>
  </si>
  <si>
    <t xml:space="preserve">Ожидаемое </t>
  </si>
  <si>
    <t>в 2010 году</t>
  </si>
  <si>
    <t>Период</t>
  </si>
  <si>
    <t>регулирования</t>
  </si>
  <si>
    <t>2011 г.</t>
  </si>
  <si>
    <t>2011г./2010 г.</t>
  </si>
  <si>
    <t xml:space="preserve">Рост </t>
  </si>
  <si>
    <t>многоквартирного дома, расположенного по адресу: пр. Тракторостроителей, д. 24</t>
  </si>
  <si>
    <t>Содержание жилого</t>
  </si>
  <si>
    <t>помещения - всего</t>
  </si>
  <si>
    <t>в том числе</t>
  </si>
  <si>
    <t>Уборка придомовой территории</t>
  </si>
  <si>
    <t>Содержание лифтов</t>
  </si>
  <si>
    <t xml:space="preserve">1. </t>
  </si>
  <si>
    <t>1.1.</t>
  </si>
  <si>
    <t>1.2.</t>
  </si>
  <si>
    <t>1.3.</t>
  </si>
  <si>
    <t>1.4.</t>
  </si>
  <si>
    <t>1.5.</t>
  </si>
  <si>
    <t>1.6.</t>
  </si>
  <si>
    <t>1.7.</t>
  </si>
  <si>
    <t xml:space="preserve">2. </t>
  </si>
  <si>
    <t>Текущий ремонт</t>
  </si>
  <si>
    <t>2.1.</t>
  </si>
  <si>
    <t>2.2.</t>
  </si>
  <si>
    <t>2.3.</t>
  </si>
  <si>
    <t>2.4.</t>
  </si>
  <si>
    <t xml:space="preserve">Итого расходов по </t>
  </si>
  <si>
    <t>содержанию и ремонту</t>
  </si>
  <si>
    <t>Расходы по нежилым помещениям</t>
  </si>
  <si>
    <t>3.</t>
  </si>
  <si>
    <t>РАСХОДЫ - ВСЕГО</t>
  </si>
  <si>
    <t>ДОХОДЫ - ВСЕГО</t>
  </si>
  <si>
    <t>платежи граждан за содержание и</t>
  </si>
  <si>
    <t>платежи по нежилым помещениям</t>
  </si>
  <si>
    <t>прочие доходы от использования</t>
  </si>
  <si>
    <t>общего имущества дома</t>
  </si>
  <si>
    <t>Прибыль (убыток)</t>
  </si>
  <si>
    <t>1.8.</t>
  </si>
  <si>
    <t>косметический  ремонт подъездов</t>
  </si>
  <si>
    <t>герметизация швов</t>
  </si>
  <si>
    <t>замена стояков отопления</t>
  </si>
  <si>
    <t>замена системы канализации</t>
  </si>
  <si>
    <t>ремонт балконных козырьков</t>
  </si>
  <si>
    <t>многоквартирного дома, расположенного по адресу: пр. Тракторостроителей, д. 28</t>
  </si>
  <si>
    <t>тыс.руб.</t>
  </si>
  <si>
    <t>ремонт кровли</t>
  </si>
  <si>
    <t>многоквартирного дома, расположенного по адресу: пр. Тракторостроителей, д. 30</t>
  </si>
  <si>
    <t>ремонт отмостки</t>
  </si>
  <si>
    <t>многоквартирного дома, расположенного по адресу: пр. Тракторостроителей, д. 30 корп. 1</t>
  </si>
  <si>
    <t>многоквартирного дома, расположенного по адресу: пр. Тракторостроителей, д. 36</t>
  </si>
  <si>
    <t>2.5.</t>
  </si>
  <si>
    <t>многоквартирного дома, расположенного по адресу: ул. Пролетарская, д.21/22</t>
  </si>
  <si>
    <t>2.6.</t>
  </si>
  <si>
    <t>многоквартирного дома, расположенного по адресу: ул. Пролетарская, д. 27</t>
  </si>
  <si>
    <t>замена оконных рам</t>
  </si>
  <si>
    <t>1.9.</t>
  </si>
  <si>
    <t>Спецработы</t>
  </si>
  <si>
    <t>1.10.</t>
  </si>
  <si>
    <t>Материалы</t>
  </si>
  <si>
    <t>1.11.</t>
  </si>
  <si>
    <t>Транспортные расходы</t>
  </si>
  <si>
    <t>Сантехнические работы</t>
  </si>
  <si>
    <t>водопровод, канализация, ГВС</t>
  </si>
  <si>
    <t>центральное отопление</t>
  </si>
  <si>
    <t>Обслуживание электрооборудования</t>
  </si>
  <si>
    <t>Электрогзосварочные работы</t>
  </si>
  <si>
    <t>Обслуживание систем вентиляции</t>
  </si>
  <si>
    <t>Уборка лестничных клеток</t>
  </si>
  <si>
    <t>Обслуживание мусоропровода</t>
  </si>
  <si>
    <t>1.12.</t>
  </si>
  <si>
    <t>Вывоз ТБО</t>
  </si>
  <si>
    <t>1.13.</t>
  </si>
  <si>
    <t>Аварийное обслуживание</t>
  </si>
  <si>
    <t>Общеэксплуатационные расходы</t>
  </si>
  <si>
    <t>1.14.</t>
  </si>
  <si>
    <t>1.15.</t>
  </si>
  <si>
    <t>Обслуживание конструкт. элементов</t>
  </si>
  <si>
    <t>пр. Тракторостроителей, д.24</t>
  </si>
  <si>
    <t>1.</t>
  </si>
  <si>
    <t>2.</t>
  </si>
  <si>
    <t>4.</t>
  </si>
  <si>
    <t>5.</t>
  </si>
  <si>
    <t>6.</t>
  </si>
  <si>
    <t>7.</t>
  </si>
  <si>
    <t>пр. Тракторостроителей, д.28</t>
  </si>
  <si>
    <t>пр.Тракторостроителей, д.30</t>
  </si>
  <si>
    <t>пр. Тракторостроителей, д.36</t>
  </si>
  <si>
    <t>ул. Пролетарская, д.27</t>
  </si>
  <si>
    <t>ул. Пролетарская, д.21/22</t>
  </si>
  <si>
    <t>кирпич</t>
  </si>
  <si>
    <t>кр./панел</t>
  </si>
  <si>
    <t>10//12</t>
  </si>
  <si>
    <t>Всего:</t>
  </si>
  <si>
    <t>жилья о принятии</t>
  </si>
  <si>
    <t xml:space="preserve">Решение </t>
  </si>
  <si>
    <t>собственников</t>
  </si>
  <si>
    <t>размера платы</t>
  </si>
  <si>
    <t>на 2011 год</t>
  </si>
  <si>
    <t>утверждения</t>
  </si>
  <si>
    <t>Директор</t>
  </si>
  <si>
    <t>Филиппов Е.П.</t>
  </si>
  <si>
    <t>Главный экономист</t>
  </si>
  <si>
    <t>Шорникова Н.Д.</t>
  </si>
  <si>
    <t xml:space="preserve">собственниками жилых помещений многоквартирных домов с долей муниципальной собственности, находящихся в управлении ООО "УК "Жилстандарт" </t>
  </si>
  <si>
    <t>установка энергосберегающих ламп</t>
  </si>
  <si>
    <t xml:space="preserve">установка контейнеров </t>
  </si>
  <si>
    <t>установка почтовых ящиков</t>
  </si>
  <si>
    <t>ремонт вентиляции</t>
  </si>
  <si>
    <t>поверка ДПУ</t>
  </si>
  <si>
    <t>ремонт лестницы</t>
  </si>
  <si>
    <t>2.7.</t>
  </si>
  <si>
    <t>2.8.</t>
  </si>
  <si>
    <t>2.9.</t>
  </si>
  <si>
    <t>2.10.</t>
  </si>
  <si>
    <t>2.12.</t>
  </si>
  <si>
    <t>2.13.</t>
  </si>
  <si>
    <t>2.14.</t>
  </si>
  <si>
    <t>2.15.</t>
  </si>
  <si>
    <t>2.16.</t>
  </si>
  <si>
    <t>2.17.</t>
  </si>
  <si>
    <t>замена стояков отопления и ГВС</t>
  </si>
  <si>
    <t>проект установки прибора ТЭ</t>
  </si>
  <si>
    <t>проект и установка прибора ТЭ</t>
  </si>
  <si>
    <t>ямочный ремонт дорог</t>
  </si>
  <si>
    <t>замена труб ХГВС</t>
  </si>
  <si>
    <t>ремонт отмостки и площадки</t>
  </si>
  <si>
    <t>рулонная кровля на парапетах</t>
  </si>
  <si>
    <t>зонты над вентшахтами вентиляции</t>
  </si>
  <si>
    <t>мелкий ремонт лифта</t>
  </si>
  <si>
    <t>установка метал.двери</t>
  </si>
  <si>
    <t>установка контейнеров</t>
  </si>
  <si>
    <t>диспетчеризация ДПУ</t>
  </si>
  <si>
    <t>диспетчеризация, модернизация ДПУ</t>
  </si>
  <si>
    <t>благоустройство двора</t>
  </si>
  <si>
    <t>ремонт асфальтового покрытия</t>
  </si>
  <si>
    <t>Главный бухгалтер</t>
  </si>
  <si>
    <t>Степанова Г.К.</t>
  </si>
  <si>
    <t>модернизация  узлов</t>
  </si>
  <si>
    <t>замена нижней разводки отопления</t>
  </si>
  <si>
    <t>модернизация узла учета</t>
  </si>
  <si>
    <t>модернизация узлов</t>
  </si>
  <si>
    <t>замена нижней разводки ГВС</t>
  </si>
  <si>
    <t>установка ламп энергосбережения</t>
  </si>
  <si>
    <t>установка МАФ</t>
  </si>
  <si>
    <t>накопительные ресурсы</t>
  </si>
  <si>
    <t>2.11.</t>
  </si>
  <si>
    <t>СМЕТА РАСХОДОВ</t>
  </si>
  <si>
    <t>по содержанию общего имущества многоквартирного дома 24 пр.Тракторостроителей на 2011 год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</si>
  <si>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</si>
  <si>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</si>
  <si>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</si>
  <si>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</si>
  <si>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</si>
  <si>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</si>
  <si>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</si>
  <si>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</si>
  <si>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</si>
  <si>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</si>
  <si>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</si>
  <si>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</si>
  <si>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</si>
  <si>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</si>
  <si>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</si>
  <si>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</si>
  <si>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</si>
  <si>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</si>
  <si>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</si>
  <si>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</si>
  <si>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</si>
  <si>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</si>
  <si>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</si>
  <si>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</si>
  <si>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</si>
  <si>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</si>
  <si>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</si>
  <si>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</si>
  <si>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</si>
  <si>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</si>
  <si>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>Итого: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</si>
  <si>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</si>
  <si>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</si>
  <si>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</si>
  <si>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</si>
  <si>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</si>
  <si>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</si>
  <si>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</si>
  <si>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</si>
  <si>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</si>
  <si>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</si>
  <si>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</si>
  <si>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</si>
  <si>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</si>
  <si>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</si>
  <si>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Обслуживание узла учета ГВС</t>
  </si>
  <si>
    <t>Прочие затраты, всего:</t>
  </si>
  <si>
    <t>промывка системы отопления(Водоканал)</t>
  </si>
  <si>
    <t>куб.м</t>
  </si>
  <si>
    <t>заполнение системы отопления (ООО"КТ")</t>
  </si>
  <si>
    <t>Услуги УК</t>
  </si>
  <si>
    <t>Всего расходов по содержанию общего имущества</t>
  </si>
  <si>
    <t>по содержанию общего имущества многоквартирного дома 28 пр.Тракторостроителей на 2011 год</t>
  </si>
  <si>
    <t>руб.</t>
  </si>
  <si>
    <t>итого:</t>
  </si>
  <si>
    <t>Обслуживание узла учета ТЭ</t>
  </si>
  <si>
    <t xml:space="preserve">Расходы исполнителя </t>
  </si>
  <si>
    <t>по содержанию общего имущества многоквартирного дома 30 пр.Тракторостроителей на 2011 год</t>
  </si>
  <si>
    <t>по содержанию общего имущества многоквартирного дома 30 корп. 1 пр.Тракторостроителей на 2011 год</t>
  </si>
  <si>
    <t xml:space="preserve"> Обслуживание систем вентиляции</t>
  </si>
  <si>
    <t>по содержанию общего имущества многоквартирного дома 36 пр.Тракторостроителей на 2011 год</t>
  </si>
  <si>
    <t>промывка системы отопления (Водоканал)</t>
  </si>
  <si>
    <t>по содержанию общего имущества многоквартирного дома 21/22 ул. Пролетарская на 2011 год</t>
  </si>
  <si>
    <t>по содержанию общего имущества многоквартирного дома 27 ул. Пролетарская на 2011 год</t>
  </si>
  <si>
    <t>Директор ООО"УК"Жилстандарт"</t>
  </si>
  <si>
    <t xml:space="preserve">                                          Филиппов Е.П.</t>
  </si>
  <si>
    <t xml:space="preserve">Главный бухгалтер                                                                </t>
  </si>
  <si>
    <t xml:space="preserve">Главный экономист                                                                             </t>
  </si>
  <si>
    <t>Шорникова  Н.Д.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</si>
  <si>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</si>
  <si>
    <t xml:space="preserve">Дата </t>
  </si>
  <si>
    <t>прото-</t>
  </si>
  <si>
    <t>кола</t>
  </si>
  <si>
    <t>за содерж.</t>
  </si>
  <si>
    <t>этаж-</t>
  </si>
  <si>
    <t>ность</t>
  </si>
  <si>
    <t>содерж.</t>
  </si>
  <si>
    <t>пр. Тракторостроителей, д.30 1</t>
  </si>
  <si>
    <t>пост-</t>
  </si>
  <si>
    <t>рой-</t>
  </si>
  <si>
    <t>ки</t>
  </si>
  <si>
    <t>нали-</t>
  </si>
  <si>
    <t>чие</t>
  </si>
  <si>
    <t>мусо-</t>
  </si>
  <si>
    <t>вода</t>
  </si>
  <si>
    <t>в 2011 г.</t>
  </si>
  <si>
    <t>помещ.</t>
  </si>
  <si>
    <t>ропро</t>
  </si>
  <si>
    <t>модернизация узлов учета ХВС</t>
  </si>
  <si>
    <t>установка детского городка</t>
  </si>
  <si>
    <t>№1 от 10.11.2010</t>
  </si>
  <si>
    <t>№2 от 10.11.2010</t>
  </si>
  <si>
    <t>№3 от 10.11.2010</t>
  </si>
  <si>
    <t>№4 от 10.11.2010</t>
  </si>
  <si>
    <t>№5 от 10.11.2010</t>
  </si>
  <si>
    <t>№6 от 10.11.2010</t>
  </si>
  <si>
    <t>№7 от 10.11.2010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</si>
</sst>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7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1" fillId="2" borderId="10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justify" vertical="justify"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2" fontId="2" fillId="2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2" fontId="1" fillId="2" borderId="22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2" fontId="1" fillId="2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2" fontId="2" fillId="2" borderId="2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" borderId="29" xfId="0" applyFont="1" applyFill="1" applyBorder="1" applyAlignment="1">
      <alignment/>
    </xf>
    <xf numFmtId="2" fontId="1" fillId="2" borderId="30" xfId="19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2" borderId="15" xfId="19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2" fontId="1" fillId="2" borderId="25" xfId="19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49" fontId="1" fillId="2" borderId="36" xfId="0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/>
    </xf>
    <xf numFmtId="2" fontId="2" fillId="2" borderId="38" xfId="19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2" fontId="2" fillId="2" borderId="25" xfId="19" applyNumberFormat="1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2" fontId="2" fillId="2" borderId="22" xfId="19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2" fillId="2" borderId="12" xfId="19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2" fontId="1" fillId="2" borderId="38" xfId="0" applyNumberFormat="1" applyFont="1" applyFill="1" applyBorder="1" applyAlignment="1">
      <alignment/>
    </xf>
    <xf numFmtId="2" fontId="1" fillId="2" borderId="22" xfId="19" applyNumberFormat="1" applyFont="1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2" xfId="19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2" borderId="7" xfId="0" applyFont="1" applyFill="1" applyBorder="1" applyAlignment="1">
      <alignment/>
    </xf>
    <xf numFmtId="2" fontId="2" fillId="2" borderId="30" xfId="19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2" xfId="19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32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2" fontId="2" fillId="2" borderId="25" xfId="0" applyNumberFormat="1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1" fillId="2" borderId="42" xfId="0" applyFont="1" applyFill="1" applyBorder="1" applyAlignment="1">
      <alignment horizontal="center" vertical="justify"/>
    </xf>
    <xf numFmtId="0" fontId="1" fillId="2" borderId="2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2.00390625" style="0" customWidth="1"/>
    <col min="2" max="2" width="27.875" style="0" customWidth="1"/>
    <col min="3" max="3" width="5.625" style="0" customWidth="1"/>
    <col min="4" max="4" width="9.375" style="0" customWidth="1"/>
    <col min="5" max="5" width="5.375" style="0" customWidth="1"/>
    <col min="6" max="6" width="5.875" style="0" customWidth="1"/>
    <col min="7" max="7" width="6.125" style="0" customWidth="1"/>
    <col min="8" max="8" width="8.125" style="0" customWidth="1"/>
    <col min="9" max="9" width="8.25390625" style="0" customWidth="1"/>
    <col min="10" max="10" width="9.875" style="0" customWidth="1"/>
    <col min="11" max="11" width="8.125" style="0" customWidth="1"/>
    <col min="12" max="12" width="9.75390625" style="0" customWidth="1"/>
    <col min="13" max="13" width="8.875" style="0" customWidth="1"/>
    <col min="14" max="14" width="17.25390625" style="0" customWidth="1"/>
    <col min="15" max="15" width="10.125" style="0" customWidth="1"/>
    <col min="16" max="16" width="8.625" style="0" customWidth="1"/>
    <col min="17" max="17" width="8.375" style="0" customWidth="1"/>
  </cols>
  <sheetData>
    <row r="1" spans="1:17" s="1" customFormat="1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1" customFormat="1" ht="15">
      <c r="A2" s="129" t="s">
        <v>138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1" customFormat="1" ht="15">
      <c r="A3" s="129" t="s">
        <v>132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="1" customFormat="1" ht="15"/>
    <row r="5" spans="1:17" s="1" customFormat="1" ht="15">
      <c r="A5" s="2" t="s">
        <v>1</v>
      </c>
      <c r="B5" s="2" t="s">
        <v>2</v>
      </c>
      <c r="C5" s="2" t="s">
        <v>3</v>
      </c>
      <c r="D5" s="2" t="s">
        <v>4</v>
      </c>
      <c r="E5" s="2" t="s">
        <v>257</v>
      </c>
      <c r="F5" s="2" t="s">
        <v>264</v>
      </c>
      <c r="G5" s="2" t="s">
        <v>264</v>
      </c>
      <c r="H5" s="2" t="s">
        <v>7</v>
      </c>
      <c r="I5" s="2" t="s">
        <v>9</v>
      </c>
      <c r="J5" s="130" t="s">
        <v>17</v>
      </c>
      <c r="K5" s="137"/>
      <c r="L5" s="130" t="s">
        <v>129</v>
      </c>
      <c r="M5" s="131"/>
      <c r="N5" s="2" t="s">
        <v>253</v>
      </c>
      <c r="O5" s="131" t="s">
        <v>18</v>
      </c>
      <c r="P5" s="137"/>
      <c r="Q5" s="2" t="s">
        <v>21</v>
      </c>
    </row>
    <row r="6" spans="1:17" s="1" customFormat="1" ht="15">
      <c r="A6" s="5"/>
      <c r="B6" s="5"/>
      <c r="C6" s="3" t="s">
        <v>261</v>
      </c>
      <c r="D6" s="3" t="s">
        <v>5</v>
      </c>
      <c r="E6" s="5" t="s">
        <v>258</v>
      </c>
      <c r="F6" s="3" t="s">
        <v>265</v>
      </c>
      <c r="G6" s="3" t="s">
        <v>265</v>
      </c>
      <c r="H6" s="3" t="s">
        <v>8</v>
      </c>
      <c r="I6" s="3" t="s">
        <v>10</v>
      </c>
      <c r="J6" s="132" t="s">
        <v>11</v>
      </c>
      <c r="K6" s="138"/>
      <c r="L6" s="132" t="s">
        <v>130</v>
      </c>
      <c r="M6" s="133"/>
      <c r="N6" s="3" t="s">
        <v>1</v>
      </c>
      <c r="O6" s="133" t="s">
        <v>19</v>
      </c>
      <c r="P6" s="138"/>
      <c r="Q6" s="3" t="s">
        <v>22</v>
      </c>
    </row>
    <row r="7" spans="1:17" s="1" customFormat="1" ht="15">
      <c r="A7" s="5"/>
      <c r="B7" s="5"/>
      <c r="C7" s="5" t="s">
        <v>262</v>
      </c>
      <c r="D7" s="5"/>
      <c r="E7" s="5"/>
      <c r="F7" s="5" t="s">
        <v>6</v>
      </c>
      <c r="G7" s="5" t="s">
        <v>266</v>
      </c>
      <c r="H7" s="5"/>
      <c r="I7" s="5"/>
      <c r="J7" s="132" t="s">
        <v>12</v>
      </c>
      <c r="K7" s="138"/>
      <c r="L7" s="132" t="s">
        <v>128</v>
      </c>
      <c r="M7" s="133"/>
      <c r="N7" s="5" t="s">
        <v>254</v>
      </c>
      <c r="O7" s="133" t="s">
        <v>20</v>
      </c>
      <c r="P7" s="138"/>
      <c r="Q7" s="3" t="s">
        <v>23</v>
      </c>
    </row>
    <row r="8" spans="1:17" s="1" customFormat="1" ht="15">
      <c r="A8" s="5"/>
      <c r="B8" s="5"/>
      <c r="C8" s="5" t="s">
        <v>263</v>
      </c>
      <c r="D8" s="5"/>
      <c r="E8" s="5"/>
      <c r="F8" s="5"/>
      <c r="G8" s="5" t="s">
        <v>270</v>
      </c>
      <c r="H8" s="5"/>
      <c r="I8" s="5"/>
      <c r="J8" s="132" t="s">
        <v>133</v>
      </c>
      <c r="K8" s="138"/>
      <c r="L8" s="132" t="s">
        <v>131</v>
      </c>
      <c r="M8" s="133"/>
      <c r="N8" s="5" t="s">
        <v>255</v>
      </c>
      <c r="O8" s="133"/>
      <c r="P8" s="138"/>
      <c r="Q8" s="3" t="s">
        <v>14</v>
      </c>
    </row>
    <row r="9" spans="1:17" s="1" customFormat="1" ht="15">
      <c r="A9" s="5"/>
      <c r="B9" s="5"/>
      <c r="C9" s="5"/>
      <c r="D9" s="5"/>
      <c r="E9" s="5"/>
      <c r="F9" s="5"/>
      <c r="G9" s="5" t="s">
        <v>267</v>
      </c>
      <c r="H9" s="5"/>
      <c r="I9" s="5"/>
      <c r="J9" s="134" t="s">
        <v>132</v>
      </c>
      <c r="K9" s="136"/>
      <c r="L9" s="134" t="s">
        <v>132</v>
      </c>
      <c r="M9" s="135"/>
      <c r="N9" s="5"/>
      <c r="O9" s="135"/>
      <c r="P9" s="136"/>
      <c r="Q9" s="3" t="s">
        <v>259</v>
      </c>
    </row>
    <row r="10" spans="1:17" s="1" customFormat="1" ht="15">
      <c r="A10" s="5"/>
      <c r="B10" s="5"/>
      <c r="C10" s="5"/>
      <c r="D10" s="5"/>
      <c r="E10" s="5"/>
      <c r="F10" s="5"/>
      <c r="G10" s="5"/>
      <c r="H10" s="5"/>
      <c r="I10" s="5"/>
      <c r="J10" s="2" t="s">
        <v>256</v>
      </c>
      <c r="K10" s="2" t="s">
        <v>14</v>
      </c>
      <c r="L10" s="2" t="s">
        <v>256</v>
      </c>
      <c r="M10" s="22" t="s">
        <v>14</v>
      </c>
      <c r="N10" s="3"/>
      <c r="O10" s="23" t="s">
        <v>256</v>
      </c>
      <c r="P10" s="2" t="s">
        <v>14</v>
      </c>
      <c r="Q10" s="3" t="s">
        <v>24</v>
      </c>
    </row>
    <row r="11" spans="1:17" s="1" customFormat="1" ht="15">
      <c r="A11" s="5"/>
      <c r="B11" s="5"/>
      <c r="C11" s="5"/>
      <c r="D11" s="5"/>
      <c r="E11" s="5"/>
      <c r="F11" s="5"/>
      <c r="G11" s="5"/>
      <c r="H11" s="5"/>
      <c r="I11" s="5"/>
      <c r="J11" s="3" t="s">
        <v>13</v>
      </c>
      <c r="K11" s="3" t="s">
        <v>15</v>
      </c>
      <c r="L11" s="3" t="s">
        <v>13</v>
      </c>
      <c r="M11" s="24" t="s">
        <v>15</v>
      </c>
      <c r="N11" s="3"/>
      <c r="O11" s="25" t="s">
        <v>13</v>
      </c>
      <c r="P11" s="3" t="s">
        <v>15</v>
      </c>
      <c r="Q11" s="3" t="s">
        <v>268</v>
      </c>
    </row>
    <row r="12" spans="1:17" s="1" customFormat="1" ht="15">
      <c r="A12" s="6"/>
      <c r="B12" s="6"/>
      <c r="C12" s="6"/>
      <c r="D12" s="6"/>
      <c r="E12" s="6"/>
      <c r="F12" s="6"/>
      <c r="G12" s="6"/>
      <c r="H12" s="6"/>
      <c r="I12" s="6"/>
      <c r="J12" s="4" t="s">
        <v>269</v>
      </c>
      <c r="K12" s="4" t="s">
        <v>16</v>
      </c>
      <c r="L12" s="4" t="s">
        <v>269</v>
      </c>
      <c r="M12" s="20" t="s">
        <v>16</v>
      </c>
      <c r="N12" s="4"/>
      <c r="O12" s="21" t="s">
        <v>269</v>
      </c>
      <c r="P12" s="4" t="s">
        <v>16</v>
      </c>
      <c r="Q12" s="4" t="s">
        <v>25</v>
      </c>
    </row>
    <row r="13" spans="1:17" s="1" customFormat="1" ht="15">
      <c r="A13" s="8" t="s">
        <v>113</v>
      </c>
      <c r="B13" s="8" t="s">
        <v>112</v>
      </c>
      <c r="C13" s="123">
        <v>1989</v>
      </c>
      <c r="D13" s="123" t="s">
        <v>125</v>
      </c>
      <c r="E13" s="123">
        <v>10</v>
      </c>
      <c r="F13" s="123">
        <v>9</v>
      </c>
      <c r="G13" s="123">
        <v>9</v>
      </c>
      <c r="H13" s="123">
        <v>1033</v>
      </c>
      <c r="I13" s="123">
        <v>19798.4</v>
      </c>
      <c r="J13" s="123">
        <v>10.46</v>
      </c>
      <c r="K13" s="123">
        <v>2.64</v>
      </c>
      <c r="L13" s="123">
        <v>10.46</v>
      </c>
      <c r="M13" s="123">
        <v>2.64</v>
      </c>
      <c r="N13" s="123" t="s">
        <v>273</v>
      </c>
      <c r="O13" s="123">
        <v>9.53</v>
      </c>
      <c r="P13" s="123">
        <v>2.4</v>
      </c>
      <c r="Q13" s="123">
        <v>109.8</v>
      </c>
    </row>
    <row r="14" spans="1:17" s="1" customFormat="1" ht="15">
      <c r="A14" s="8" t="s">
        <v>114</v>
      </c>
      <c r="B14" s="8" t="s">
        <v>119</v>
      </c>
      <c r="C14" s="123">
        <v>1989</v>
      </c>
      <c r="D14" s="123" t="s">
        <v>125</v>
      </c>
      <c r="E14" s="123">
        <v>10</v>
      </c>
      <c r="F14" s="123">
        <v>8</v>
      </c>
      <c r="G14" s="123">
        <v>8</v>
      </c>
      <c r="H14" s="123">
        <v>938</v>
      </c>
      <c r="I14" s="123">
        <v>17587.7</v>
      </c>
      <c r="J14" s="123">
        <v>10.46</v>
      </c>
      <c r="K14" s="123">
        <v>2.64</v>
      </c>
      <c r="L14" s="123">
        <v>10.46</v>
      </c>
      <c r="M14" s="123">
        <v>2.64</v>
      </c>
      <c r="N14" s="123" t="s">
        <v>274</v>
      </c>
      <c r="O14" s="123">
        <v>9.53</v>
      </c>
      <c r="P14" s="123">
        <v>2.4</v>
      </c>
      <c r="Q14" s="123">
        <v>109.8</v>
      </c>
    </row>
    <row r="15" spans="1:17" s="1" customFormat="1" ht="15">
      <c r="A15" s="8" t="s">
        <v>64</v>
      </c>
      <c r="B15" s="8" t="s">
        <v>120</v>
      </c>
      <c r="C15" s="123">
        <v>1989</v>
      </c>
      <c r="D15" s="123" t="s">
        <v>125</v>
      </c>
      <c r="E15" s="123">
        <v>9</v>
      </c>
      <c r="F15" s="123">
        <v>1</v>
      </c>
      <c r="G15" s="123">
        <v>1</v>
      </c>
      <c r="H15" s="123">
        <v>204</v>
      </c>
      <c r="I15" s="123">
        <v>3682.1</v>
      </c>
      <c r="J15" s="123">
        <v>10.46</v>
      </c>
      <c r="K15" s="123">
        <v>2.64</v>
      </c>
      <c r="L15" s="123">
        <v>10.46</v>
      </c>
      <c r="M15" s="123">
        <v>2.64</v>
      </c>
      <c r="N15" s="123" t="s">
        <v>275</v>
      </c>
      <c r="O15" s="123">
        <v>9.53</v>
      </c>
      <c r="P15" s="123">
        <v>2.4</v>
      </c>
      <c r="Q15" s="123">
        <v>109.8</v>
      </c>
    </row>
    <row r="16" spans="1:17" s="1" customFormat="1" ht="15">
      <c r="A16" s="8" t="s">
        <v>115</v>
      </c>
      <c r="B16" s="8" t="s">
        <v>260</v>
      </c>
      <c r="C16" s="123">
        <v>1989</v>
      </c>
      <c r="D16" s="123" t="s">
        <v>125</v>
      </c>
      <c r="E16" s="123">
        <v>9</v>
      </c>
      <c r="F16" s="123">
        <v>1</v>
      </c>
      <c r="G16" s="123">
        <v>1</v>
      </c>
      <c r="H16" s="123">
        <v>218</v>
      </c>
      <c r="I16" s="123">
        <v>3676.1</v>
      </c>
      <c r="J16" s="123">
        <v>10.46</v>
      </c>
      <c r="K16" s="123">
        <v>2.64</v>
      </c>
      <c r="L16" s="123">
        <v>10.46</v>
      </c>
      <c r="M16" s="123">
        <v>2.64</v>
      </c>
      <c r="N16" s="123" t="s">
        <v>276</v>
      </c>
      <c r="O16" s="123">
        <v>9.53</v>
      </c>
      <c r="P16" s="123">
        <v>2.4</v>
      </c>
      <c r="Q16" s="123">
        <v>109.8</v>
      </c>
    </row>
    <row r="17" spans="1:17" s="1" customFormat="1" ht="15">
      <c r="A17" s="8" t="s">
        <v>116</v>
      </c>
      <c r="B17" s="8" t="s">
        <v>121</v>
      </c>
      <c r="C17" s="123">
        <v>1989</v>
      </c>
      <c r="D17" s="123" t="s">
        <v>125</v>
      </c>
      <c r="E17" s="123">
        <v>10</v>
      </c>
      <c r="F17" s="123">
        <v>7</v>
      </c>
      <c r="G17" s="123">
        <v>7</v>
      </c>
      <c r="H17" s="123">
        <v>750</v>
      </c>
      <c r="I17" s="123">
        <v>14944.7</v>
      </c>
      <c r="J17" s="123">
        <v>10.46</v>
      </c>
      <c r="K17" s="123">
        <v>2.64</v>
      </c>
      <c r="L17" s="123">
        <v>10.46</v>
      </c>
      <c r="M17" s="123">
        <v>2.64</v>
      </c>
      <c r="N17" s="123" t="s">
        <v>277</v>
      </c>
      <c r="O17" s="123">
        <v>9.53</v>
      </c>
      <c r="P17" s="123">
        <v>2.4</v>
      </c>
      <c r="Q17" s="123">
        <v>109.8</v>
      </c>
    </row>
    <row r="18" spans="1:17" s="1" customFormat="1" ht="15">
      <c r="A18" s="8" t="s">
        <v>117</v>
      </c>
      <c r="B18" s="8" t="s">
        <v>123</v>
      </c>
      <c r="C18" s="123">
        <v>1993</v>
      </c>
      <c r="D18" s="123" t="s">
        <v>124</v>
      </c>
      <c r="E18" s="123" t="s">
        <v>126</v>
      </c>
      <c r="F18" s="123">
        <v>16</v>
      </c>
      <c r="G18" s="123">
        <v>11</v>
      </c>
      <c r="H18" s="123">
        <v>1102</v>
      </c>
      <c r="I18" s="123">
        <v>25303.19</v>
      </c>
      <c r="J18" s="123">
        <v>10.46</v>
      </c>
      <c r="K18" s="123">
        <v>2.64</v>
      </c>
      <c r="L18" s="123">
        <v>10.46</v>
      </c>
      <c r="M18" s="123">
        <v>2.64</v>
      </c>
      <c r="N18" s="123" t="s">
        <v>278</v>
      </c>
      <c r="O18" s="123">
        <v>9.53</v>
      </c>
      <c r="P18" s="123">
        <v>2.4</v>
      </c>
      <c r="Q18" s="123">
        <v>109.8</v>
      </c>
    </row>
    <row r="19" spans="1:17" s="1" customFormat="1" ht="15">
      <c r="A19" s="8" t="s">
        <v>118</v>
      </c>
      <c r="B19" s="8" t="s">
        <v>122</v>
      </c>
      <c r="C19" s="123">
        <v>1990</v>
      </c>
      <c r="D19" s="123" t="s">
        <v>125</v>
      </c>
      <c r="E19" s="123">
        <v>10</v>
      </c>
      <c r="F19" s="123">
        <v>9</v>
      </c>
      <c r="G19" s="123">
        <v>9</v>
      </c>
      <c r="H19" s="123">
        <v>1039</v>
      </c>
      <c r="I19" s="123">
        <v>20104.6</v>
      </c>
      <c r="J19" s="123">
        <v>10.46</v>
      </c>
      <c r="K19" s="123">
        <v>2.64</v>
      </c>
      <c r="L19" s="123">
        <v>10.46</v>
      </c>
      <c r="M19" s="123">
        <v>2.64</v>
      </c>
      <c r="N19" s="123" t="s">
        <v>279</v>
      </c>
      <c r="O19" s="123">
        <v>9.53</v>
      </c>
      <c r="P19" s="123">
        <v>2.4</v>
      </c>
      <c r="Q19" s="123">
        <v>109.8</v>
      </c>
    </row>
    <row r="20" spans="1:17" s="7" customFormat="1" ht="14.25" customHeight="1">
      <c r="A20" s="124"/>
      <c r="B20" s="124" t="s">
        <v>127</v>
      </c>
      <c r="C20" s="124"/>
      <c r="D20" s="124"/>
      <c r="E20" s="124"/>
      <c r="F20" s="125">
        <f>SUM(F13:F19)</f>
        <v>51</v>
      </c>
      <c r="G20" s="125">
        <f>SUM(G13:G19)</f>
        <v>46</v>
      </c>
      <c r="H20" s="125">
        <f>SUM(H13:H19)</f>
        <v>5284</v>
      </c>
      <c r="I20" s="125">
        <f>SUM(I13:I19)</f>
        <v>105096.79000000001</v>
      </c>
      <c r="J20" s="125"/>
      <c r="K20" s="124"/>
      <c r="L20" s="124"/>
      <c r="M20" s="124"/>
      <c r="N20" s="125"/>
      <c r="O20" s="124"/>
      <c r="P20" s="124"/>
      <c r="Q20" s="124"/>
    </row>
    <row r="21" s="1" customFormat="1" ht="15"/>
    <row r="22" s="1" customFormat="1" ht="15"/>
    <row r="23" spans="2:10" s="1" customFormat="1" ht="15">
      <c r="B23" s="1" t="s">
        <v>134</v>
      </c>
      <c r="J23" s="1" t="s">
        <v>135</v>
      </c>
    </row>
    <row r="24" s="1" customFormat="1" ht="15"/>
    <row r="25" spans="2:10" s="1" customFormat="1" ht="15">
      <c r="B25" s="1" t="s">
        <v>136</v>
      </c>
      <c r="J25" s="1" t="s">
        <v>137</v>
      </c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mergeCells count="18">
    <mergeCell ref="J9:K9"/>
    <mergeCell ref="O5:P5"/>
    <mergeCell ref="O6:P6"/>
    <mergeCell ref="O7:P7"/>
    <mergeCell ref="O8:P8"/>
    <mergeCell ref="O9:P9"/>
    <mergeCell ref="J5:K5"/>
    <mergeCell ref="J6:K6"/>
    <mergeCell ref="J7:K7"/>
    <mergeCell ref="J8:K8"/>
    <mergeCell ref="L6:M6"/>
    <mergeCell ref="L7:M7"/>
    <mergeCell ref="L8:M8"/>
    <mergeCell ref="L9:M9"/>
    <mergeCell ref="A1:Q1"/>
    <mergeCell ref="A2:Q2"/>
    <mergeCell ref="L5:M5"/>
    <mergeCell ref="A3:Q3"/>
  </mergeCells>
  <printOptions gridLines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6"/>
  <sheetViews>
    <sheetView workbookViewId="0" topLeftCell="A346">
      <selection activeCell="L356" sqref="L356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6.375" style="0" customWidth="1"/>
    <col min="4" max="4" width="14.375" style="0" customWidth="1"/>
    <col min="5" max="5" width="16.875" style="0" customWidth="1"/>
    <col min="6" max="6" width="14.625" style="0" customWidth="1"/>
    <col min="7" max="7" width="15.00390625" style="0" customWidth="1"/>
    <col min="8" max="8" width="17.625" style="0" customWidth="1"/>
  </cols>
  <sheetData>
    <row r="1" spans="1:8" ht="14.25">
      <c r="A1" s="139" t="s">
        <v>26</v>
      </c>
      <c r="B1" s="139"/>
      <c r="C1" s="139"/>
      <c r="D1" s="139"/>
      <c r="E1" s="139"/>
      <c r="F1" s="139"/>
      <c r="G1" s="139"/>
      <c r="H1" s="139"/>
    </row>
    <row r="2" spans="1:8" ht="14.25">
      <c r="A2" s="139" t="s">
        <v>41</v>
      </c>
      <c r="B2" s="139"/>
      <c r="C2" s="139"/>
      <c r="D2" s="139"/>
      <c r="E2" s="139"/>
      <c r="F2" s="139"/>
      <c r="G2" s="139"/>
      <c r="H2" s="139"/>
    </row>
    <row r="3" spans="1:8" ht="15">
      <c r="A3" s="1"/>
      <c r="B3" s="1"/>
      <c r="C3" s="1"/>
      <c r="D3" s="1"/>
      <c r="E3" s="1"/>
      <c r="F3" s="1"/>
      <c r="G3" s="1"/>
      <c r="H3" s="12" t="s">
        <v>79</v>
      </c>
    </row>
    <row r="4" spans="1:8" ht="15">
      <c r="A4" s="2" t="s">
        <v>1</v>
      </c>
      <c r="B4" s="2" t="s">
        <v>27</v>
      </c>
      <c r="C4" s="2" t="s">
        <v>28</v>
      </c>
      <c r="D4" s="2" t="s">
        <v>31</v>
      </c>
      <c r="E4" s="2" t="s">
        <v>28</v>
      </c>
      <c r="F4" s="2" t="s">
        <v>34</v>
      </c>
      <c r="G4" s="2" t="s">
        <v>36</v>
      </c>
      <c r="H4" s="2" t="s">
        <v>40</v>
      </c>
    </row>
    <row r="5" spans="1:8" ht="15">
      <c r="A5" s="5"/>
      <c r="B5" s="5"/>
      <c r="C5" s="3" t="s">
        <v>29</v>
      </c>
      <c r="D5" s="3" t="s">
        <v>32</v>
      </c>
      <c r="E5" s="3" t="s">
        <v>29</v>
      </c>
      <c r="F5" s="3" t="s">
        <v>32</v>
      </c>
      <c r="G5" s="3" t="s">
        <v>37</v>
      </c>
      <c r="H5" s="3" t="s">
        <v>39</v>
      </c>
    </row>
    <row r="6" spans="1:8" ht="15">
      <c r="A6" s="6"/>
      <c r="B6" s="6"/>
      <c r="C6" s="4" t="s">
        <v>30</v>
      </c>
      <c r="D6" s="6" t="s">
        <v>33</v>
      </c>
      <c r="E6" s="4" t="s">
        <v>20</v>
      </c>
      <c r="F6" s="4" t="s">
        <v>35</v>
      </c>
      <c r="G6" s="4" t="s">
        <v>38</v>
      </c>
      <c r="H6" s="6"/>
    </row>
    <row r="7" spans="1:8" ht="15">
      <c r="A7" s="13"/>
      <c r="B7" s="13" t="s">
        <v>42</v>
      </c>
      <c r="C7" s="13"/>
      <c r="D7" s="13"/>
      <c r="E7" s="13"/>
      <c r="F7" s="13"/>
      <c r="G7" s="13"/>
      <c r="H7" s="14"/>
    </row>
    <row r="8" spans="1:8" ht="14.25">
      <c r="A8" s="13" t="s">
        <v>47</v>
      </c>
      <c r="B8" s="13" t="s">
        <v>43</v>
      </c>
      <c r="C8" s="15">
        <f>C10+C11+C14+C15+C16+C17+C18+C19+C20+C21+C22+C23+C24+C25+C26</f>
        <v>1958.8000000000002</v>
      </c>
      <c r="D8" s="15">
        <f>D10+D11+D14+D15+D16+D17+D18+D19+D20+D21+D22+D23+D24+D25+D26</f>
        <v>1958.8000000000002</v>
      </c>
      <c r="E8" s="15">
        <f>E10+E11+E14+E15+E16+E17+E18+E19+E20+E21+E22+E23+E24+E25+E26</f>
        <v>2203.6</v>
      </c>
      <c r="F8" s="15">
        <f>F10+F11+F14+F15+F16+F17+F18+F19+F20+F21+F22+F23+F24+F25+F26</f>
        <v>2203.6</v>
      </c>
      <c r="G8" s="15">
        <f>G10+G11+G14+G15+G16+G17+G18+G19+G20+G21+G22+G23+G24+G25+G26</f>
        <v>2419.5</v>
      </c>
      <c r="H8" s="15">
        <f>G8/E8*100</f>
        <v>109.79760392085677</v>
      </c>
    </row>
    <row r="9" spans="1:8" ht="15">
      <c r="A9" s="13"/>
      <c r="B9" s="14" t="s">
        <v>44</v>
      </c>
      <c r="C9" s="15"/>
      <c r="D9" s="15"/>
      <c r="E9" s="15"/>
      <c r="F9" s="15"/>
      <c r="G9" s="13"/>
      <c r="H9" s="14"/>
    </row>
    <row r="10" spans="1:8" ht="15">
      <c r="A10" s="14" t="s">
        <v>48</v>
      </c>
      <c r="B10" s="14" t="s">
        <v>111</v>
      </c>
      <c r="C10" s="14">
        <v>44.8</v>
      </c>
      <c r="D10" s="16">
        <v>29.4</v>
      </c>
      <c r="E10" s="14">
        <v>0</v>
      </c>
      <c r="F10" s="14">
        <v>7.4</v>
      </c>
      <c r="G10" s="14">
        <v>85.9</v>
      </c>
      <c r="H10" s="16"/>
    </row>
    <row r="11" spans="1:8" ht="15">
      <c r="A11" s="14" t="s">
        <v>49</v>
      </c>
      <c r="B11" s="14" t="s">
        <v>96</v>
      </c>
      <c r="C11" s="14">
        <f>C12+C13</f>
        <v>222.20000000000002</v>
      </c>
      <c r="D11" s="16">
        <f>D12+D13</f>
        <v>216</v>
      </c>
      <c r="E11" s="16">
        <f>E12+E13</f>
        <v>274.6</v>
      </c>
      <c r="F11" s="16">
        <f>F12+F13</f>
        <v>274.6</v>
      </c>
      <c r="G11" s="16">
        <f>G12+G13</f>
        <v>315.59999999999997</v>
      </c>
      <c r="H11" s="16">
        <f aca="true" t="shared" si="0" ref="H11:H26">G11/E11*100</f>
        <v>114.93080844865256</v>
      </c>
    </row>
    <row r="12" spans="1:8" ht="15">
      <c r="A12" s="14"/>
      <c r="B12" s="14" t="s">
        <v>97</v>
      </c>
      <c r="C12" s="14">
        <v>155.8</v>
      </c>
      <c r="D12" s="16">
        <v>152.8</v>
      </c>
      <c r="E12" s="14">
        <v>188.6</v>
      </c>
      <c r="F12" s="14">
        <v>188.6</v>
      </c>
      <c r="G12" s="14">
        <f>17.9*12</f>
        <v>214.79999999999998</v>
      </c>
      <c r="H12" s="16">
        <f t="shared" si="0"/>
        <v>113.8918345705196</v>
      </c>
    </row>
    <row r="13" spans="1:8" ht="15">
      <c r="A13" s="14"/>
      <c r="B13" s="14" t="s">
        <v>98</v>
      </c>
      <c r="C13" s="14">
        <v>66.4</v>
      </c>
      <c r="D13" s="16">
        <v>63.2</v>
      </c>
      <c r="E13" s="14">
        <v>86</v>
      </c>
      <c r="F13" s="14">
        <v>86</v>
      </c>
      <c r="G13" s="14">
        <v>100.8</v>
      </c>
      <c r="H13" s="16">
        <f t="shared" si="0"/>
        <v>117.2093023255814</v>
      </c>
    </row>
    <row r="14" spans="1:8" ht="15">
      <c r="A14" s="14" t="s">
        <v>50</v>
      </c>
      <c r="B14" s="14" t="s">
        <v>99</v>
      </c>
      <c r="C14" s="14">
        <v>23.9</v>
      </c>
      <c r="D14" s="16">
        <v>23.9</v>
      </c>
      <c r="E14" s="14">
        <v>26.9</v>
      </c>
      <c r="F14" s="14">
        <v>26.9</v>
      </c>
      <c r="G14" s="14">
        <v>31.2</v>
      </c>
      <c r="H14" s="16">
        <f t="shared" si="0"/>
        <v>115.98513011152416</v>
      </c>
    </row>
    <row r="15" spans="1:8" ht="15">
      <c r="A15" s="14" t="s">
        <v>51</v>
      </c>
      <c r="B15" s="14" t="s">
        <v>100</v>
      </c>
      <c r="C15" s="14">
        <v>52.8</v>
      </c>
      <c r="D15" s="16">
        <v>52.8</v>
      </c>
      <c r="E15" s="14">
        <v>59.3</v>
      </c>
      <c r="F15" s="14">
        <v>59.4</v>
      </c>
      <c r="G15" s="14">
        <v>57.4</v>
      </c>
      <c r="H15" s="16">
        <f t="shared" si="0"/>
        <v>96.79595278246205</v>
      </c>
    </row>
    <row r="16" spans="1:8" ht="15">
      <c r="A16" s="14" t="s">
        <v>52</v>
      </c>
      <c r="B16" s="14" t="s">
        <v>101</v>
      </c>
      <c r="C16" s="14">
        <v>22.8</v>
      </c>
      <c r="D16" s="16">
        <v>21.5</v>
      </c>
      <c r="E16" s="14">
        <v>25.6</v>
      </c>
      <c r="F16" s="14">
        <v>25.6</v>
      </c>
      <c r="G16" s="14">
        <v>24.8</v>
      </c>
      <c r="H16" s="16">
        <f t="shared" si="0"/>
        <v>96.875</v>
      </c>
    </row>
    <row r="17" spans="1:8" ht="15">
      <c r="A17" s="14" t="s">
        <v>53</v>
      </c>
      <c r="B17" s="14" t="s">
        <v>45</v>
      </c>
      <c r="C17" s="14">
        <v>138.6</v>
      </c>
      <c r="D17" s="16">
        <v>136.5</v>
      </c>
      <c r="E17" s="14">
        <v>155.9</v>
      </c>
      <c r="F17" s="14">
        <v>154</v>
      </c>
      <c r="G17" s="14">
        <v>151.2</v>
      </c>
      <c r="H17" s="16">
        <f t="shared" si="0"/>
        <v>96.98524695317509</v>
      </c>
    </row>
    <row r="18" spans="1:8" ht="15">
      <c r="A18" s="14" t="s">
        <v>54</v>
      </c>
      <c r="B18" s="14" t="s">
        <v>102</v>
      </c>
      <c r="C18" s="14">
        <v>234.2</v>
      </c>
      <c r="D18" s="16">
        <v>230.1</v>
      </c>
      <c r="E18" s="14">
        <v>263.5</v>
      </c>
      <c r="F18" s="14">
        <v>262.6</v>
      </c>
      <c r="G18" s="14">
        <v>255.6</v>
      </c>
      <c r="H18" s="16">
        <f t="shared" si="0"/>
        <v>97.00189753320683</v>
      </c>
    </row>
    <row r="19" spans="1:8" ht="15">
      <c r="A19" s="14" t="s">
        <v>72</v>
      </c>
      <c r="B19" s="14" t="s">
        <v>103</v>
      </c>
      <c r="C19" s="14">
        <v>75</v>
      </c>
      <c r="D19" s="16">
        <v>75</v>
      </c>
      <c r="E19" s="14">
        <v>84.4</v>
      </c>
      <c r="F19" s="14">
        <v>84.4</v>
      </c>
      <c r="G19" s="14">
        <f>5.6+81.6</f>
        <v>87.19999999999999</v>
      </c>
      <c r="H19" s="16">
        <f t="shared" si="0"/>
        <v>103.31753554502367</v>
      </c>
    </row>
    <row r="20" spans="1:8" ht="15">
      <c r="A20" s="14" t="s">
        <v>90</v>
      </c>
      <c r="B20" s="14" t="s">
        <v>46</v>
      </c>
      <c r="C20" s="14">
        <v>399.4</v>
      </c>
      <c r="D20" s="16">
        <v>385.5</v>
      </c>
      <c r="E20" s="14">
        <v>506.5</v>
      </c>
      <c r="F20" s="14">
        <v>449.3</v>
      </c>
      <c r="G20" s="14">
        <v>490.8</v>
      </c>
      <c r="H20" s="16">
        <f t="shared" si="0"/>
        <v>96.90029615004936</v>
      </c>
    </row>
    <row r="21" spans="1:8" ht="15">
      <c r="A21" s="14" t="s">
        <v>92</v>
      </c>
      <c r="B21" s="14" t="s">
        <v>93</v>
      </c>
      <c r="C21" s="14">
        <v>64.4</v>
      </c>
      <c r="D21" s="16">
        <v>68</v>
      </c>
      <c r="E21" s="14">
        <v>69.8</v>
      </c>
      <c r="F21" s="14">
        <v>77</v>
      </c>
      <c r="G21" s="14">
        <v>153.6</v>
      </c>
      <c r="H21" s="16">
        <f t="shared" si="0"/>
        <v>220.0573065902579</v>
      </c>
    </row>
    <row r="22" spans="1:8" ht="15">
      <c r="A22" s="14" t="s">
        <v>94</v>
      </c>
      <c r="B22" s="14" t="s">
        <v>95</v>
      </c>
      <c r="C22" s="14">
        <v>19.5</v>
      </c>
      <c r="D22" s="16">
        <v>43</v>
      </c>
      <c r="E22" s="14">
        <v>14.5</v>
      </c>
      <c r="F22" s="14">
        <v>33</v>
      </c>
      <c r="G22" s="14">
        <v>37.7</v>
      </c>
      <c r="H22" s="16">
        <f t="shared" si="0"/>
        <v>260</v>
      </c>
    </row>
    <row r="23" spans="1:8" ht="15">
      <c r="A23" s="14" t="s">
        <v>104</v>
      </c>
      <c r="B23" s="14" t="s">
        <v>91</v>
      </c>
      <c r="C23" s="14">
        <v>148.4</v>
      </c>
      <c r="D23" s="16">
        <v>143</v>
      </c>
      <c r="E23" s="14">
        <v>170.3</v>
      </c>
      <c r="F23" s="14">
        <f>363.2-F24</f>
        <v>167</v>
      </c>
      <c r="G23" s="14">
        <v>151.9</v>
      </c>
      <c r="H23" s="16">
        <f t="shared" si="0"/>
        <v>89.19553728714034</v>
      </c>
    </row>
    <row r="24" spans="1:8" ht="15">
      <c r="A24" s="14" t="s">
        <v>106</v>
      </c>
      <c r="B24" s="14" t="s">
        <v>105</v>
      </c>
      <c r="C24" s="14">
        <v>196.2</v>
      </c>
      <c r="D24" s="16">
        <v>196.2</v>
      </c>
      <c r="E24" s="14">
        <v>196.2</v>
      </c>
      <c r="F24" s="14">
        <v>196.2</v>
      </c>
      <c r="G24" s="14">
        <v>196.2</v>
      </c>
      <c r="H24" s="16">
        <f t="shared" si="0"/>
        <v>100</v>
      </c>
    </row>
    <row r="25" spans="1:8" ht="15">
      <c r="A25" s="14" t="s">
        <v>109</v>
      </c>
      <c r="B25" s="14" t="s">
        <v>108</v>
      </c>
      <c r="C25" s="14">
        <v>204.4</v>
      </c>
      <c r="D25" s="16">
        <v>225.7</v>
      </c>
      <c r="E25" s="14">
        <v>229.9</v>
      </c>
      <c r="F25" s="14">
        <v>260</v>
      </c>
      <c r="G25" s="14">
        <v>261.6</v>
      </c>
      <c r="H25" s="16">
        <f t="shared" si="0"/>
        <v>113.78860374075686</v>
      </c>
    </row>
    <row r="26" spans="1:8" ht="15">
      <c r="A26" s="14" t="s">
        <v>110</v>
      </c>
      <c r="B26" s="14" t="s">
        <v>107</v>
      </c>
      <c r="C26" s="14">
        <v>112.2</v>
      </c>
      <c r="D26" s="16">
        <v>112.2</v>
      </c>
      <c r="E26" s="14">
        <v>126.2</v>
      </c>
      <c r="F26" s="14">
        <v>126.2</v>
      </c>
      <c r="G26" s="14">
        <v>118.8</v>
      </c>
      <c r="H26" s="16">
        <f t="shared" si="0"/>
        <v>94.13629160063391</v>
      </c>
    </row>
    <row r="27" spans="1:8" ht="14.25">
      <c r="A27" s="13" t="s">
        <v>55</v>
      </c>
      <c r="B27" s="13" t="s">
        <v>56</v>
      </c>
      <c r="C27" s="13">
        <f>C29+C30+C31+C32+C33+C34+C35+C36+C37+C45</f>
        <v>0</v>
      </c>
      <c r="D27" s="13">
        <f>D29+D30+D31+D32+D33+D34+D35+D36+D37+D45</f>
        <v>570.1999999999999</v>
      </c>
      <c r="E27" s="13">
        <f>E29+E30+E31+E32+E33+E34+E35+E36+E37+E38+E39+E40+E41+E42+E43</f>
        <v>570.2</v>
      </c>
      <c r="F27" s="13">
        <f>F29+F30+F31+F32+F33+F34+F35+F36+F37+F38+F39+F40+F41+F42+F43+F45</f>
        <v>570.2</v>
      </c>
      <c r="G27" s="13">
        <f>G29+G30+G31+G32+G33+G34+G35+G36+G37+G38+G39+G40+G41+G42+G43+G44+G45</f>
        <v>627.1999999999999</v>
      </c>
      <c r="H27" s="15">
        <v>109.8</v>
      </c>
    </row>
    <row r="28" spans="1:8" ht="15">
      <c r="A28" s="14"/>
      <c r="B28" s="14" t="s">
        <v>44</v>
      </c>
      <c r="C28" s="14"/>
      <c r="D28" s="14"/>
      <c r="E28" s="14"/>
      <c r="F28" s="14"/>
      <c r="G28" s="14"/>
      <c r="H28" s="14"/>
    </row>
    <row r="29" spans="1:8" ht="15">
      <c r="A29" s="14" t="s">
        <v>57</v>
      </c>
      <c r="B29" s="14" t="s">
        <v>73</v>
      </c>
      <c r="C29" s="14"/>
      <c r="D29" s="14">
        <f>272.9+165.4</f>
        <v>438.29999999999995</v>
      </c>
      <c r="E29" s="14"/>
      <c r="F29" s="14"/>
      <c r="G29" s="14"/>
      <c r="H29" s="14"/>
    </row>
    <row r="30" spans="1:8" ht="15">
      <c r="A30" s="14" t="s">
        <v>58</v>
      </c>
      <c r="B30" s="14" t="s">
        <v>74</v>
      </c>
      <c r="C30" s="14"/>
      <c r="D30" s="14">
        <f>5.3+46.3</f>
        <v>51.599999999999994</v>
      </c>
      <c r="E30" s="14">
        <v>75</v>
      </c>
      <c r="F30" s="14">
        <f>38+59</f>
        <v>97</v>
      </c>
      <c r="G30" s="14">
        <v>49.4</v>
      </c>
      <c r="H30" s="14"/>
    </row>
    <row r="31" spans="1:8" ht="15">
      <c r="A31" s="14" t="s">
        <v>59</v>
      </c>
      <c r="B31" s="14" t="s">
        <v>75</v>
      </c>
      <c r="C31" s="14"/>
      <c r="D31" s="14">
        <f>33.8+34.9</f>
        <v>68.69999999999999</v>
      </c>
      <c r="E31" s="14">
        <v>125.3</v>
      </c>
      <c r="F31" s="14"/>
      <c r="G31" s="14">
        <v>146.2</v>
      </c>
      <c r="H31" s="14"/>
    </row>
    <row r="32" spans="1:8" ht="15">
      <c r="A32" s="14" t="s">
        <v>60</v>
      </c>
      <c r="B32" s="14" t="s">
        <v>76</v>
      </c>
      <c r="C32" s="14"/>
      <c r="D32" s="14">
        <v>31.4</v>
      </c>
      <c r="E32" s="14"/>
      <c r="F32" s="14"/>
      <c r="G32" s="14"/>
      <c r="H32" s="14"/>
    </row>
    <row r="33" spans="1:8" ht="15">
      <c r="A33" s="14" t="s">
        <v>85</v>
      </c>
      <c r="B33" s="14" t="s">
        <v>167</v>
      </c>
      <c r="C33" s="14"/>
      <c r="D33" s="14"/>
      <c r="E33" s="14"/>
      <c r="F33" s="14"/>
      <c r="G33" s="14">
        <f>226+30+46.2</f>
        <v>302.2</v>
      </c>
      <c r="H33" s="14"/>
    </row>
    <row r="34" spans="1:8" ht="15">
      <c r="A34" s="14" t="s">
        <v>87</v>
      </c>
      <c r="B34" s="14" t="s">
        <v>82</v>
      </c>
      <c r="C34" s="14"/>
      <c r="D34" s="14">
        <v>9.1</v>
      </c>
      <c r="E34" s="14"/>
      <c r="F34" s="14"/>
      <c r="G34" s="14"/>
      <c r="H34" s="14"/>
    </row>
    <row r="35" spans="1:8" ht="15">
      <c r="A35" s="14" t="s">
        <v>145</v>
      </c>
      <c r="B35" s="14" t="s">
        <v>89</v>
      </c>
      <c r="C35" s="14"/>
      <c r="D35" s="14">
        <f>106.9+104.5</f>
        <v>211.4</v>
      </c>
      <c r="E35" s="14"/>
      <c r="F35" s="14"/>
      <c r="G35" s="14"/>
      <c r="H35" s="14"/>
    </row>
    <row r="36" spans="1:8" ht="15">
      <c r="A36" s="14" t="s">
        <v>146</v>
      </c>
      <c r="B36" s="14" t="s">
        <v>168</v>
      </c>
      <c r="C36" s="14"/>
      <c r="D36" s="14"/>
      <c r="E36" s="14"/>
      <c r="F36" s="14"/>
      <c r="G36" s="14">
        <v>12.8</v>
      </c>
      <c r="H36" s="14"/>
    </row>
    <row r="37" spans="1:8" ht="15">
      <c r="A37" s="14" t="s">
        <v>147</v>
      </c>
      <c r="B37" s="14" t="s">
        <v>139</v>
      </c>
      <c r="C37" s="14"/>
      <c r="D37" s="14">
        <v>76.7</v>
      </c>
      <c r="E37" s="14">
        <v>34.2</v>
      </c>
      <c r="F37" s="14"/>
      <c r="G37" s="14"/>
      <c r="H37" s="14"/>
    </row>
    <row r="38" spans="1:8" ht="15">
      <c r="A38" s="14" t="s">
        <v>148</v>
      </c>
      <c r="B38" s="14" t="s">
        <v>140</v>
      </c>
      <c r="C38" s="14"/>
      <c r="D38" s="14"/>
      <c r="E38" s="14"/>
      <c r="F38" s="14">
        <v>38.2</v>
      </c>
      <c r="G38" s="14"/>
      <c r="H38" s="14"/>
    </row>
    <row r="39" spans="1:8" ht="15">
      <c r="A39" s="14" t="s">
        <v>180</v>
      </c>
      <c r="B39" s="14" t="s">
        <v>141</v>
      </c>
      <c r="C39" s="14"/>
      <c r="D39" s="14"/>
      <c r="E39" s="14"/>
      <c r="F39" s="14">
        <v>99.3</v>
      </c>
      <c r="G39" s="14"/>
      <c r="H39" s="14"/>
    </row>
    <row r="40" spans="1:8" ht="15">
      <c r="A40" s="14" t="s">
        <v>149</v>
      </c>
      <c r="B40" s="14" t="s">
        <v>142</v>
      </c>
      <c r="C40" s="14"/>
      <c r="D40" s="14"/>
      <c r="E40" s="14"/>
      <c r="F40" s="14">
        <v>8.5</v>
      </c>
      <c r="G40" s="14"/>
      <c r="H40" s="14"/>
    </row>
    <row r="41" spans="1:8" ht="15">
      <c r="A41" s="14" t="s">
        <v>150</v>
      </c>
      <c r="B41" s="14" t="s">
        <v>80</v>
      </c>
      <c r="C41" s="14"/>
      <c r="D41" s="14"/>
      <c r="E41" s="14">
        <v>320</v>
      </c>
      <c r="F41" s="14"/>
      <c r="G41" s="14"/>
      <c r="H41" s="14"/>
    </row>
    <row r="42" spans="1:8" ht="15">
      <c r="A42" s="14" t="s">
        <v>151</v>
      </c>
      <c r="B42" s="14" t="s">
        <v>144</v>
      </c>
      <c r="C42" s="14"/>
      <c r="D42" s="14"/>
      <c r="E42" s="14">
        <v>15.7</v>
      </c>
      <c r="F42" s="14"/>
      <c r="G42" s="14"/>
      <c r="H42" s="14"/>
    </row>
    <row r="43" spans="1:8" ht="15">
      <c r="A43" s="14" t="s">
        <v>152</v>
      </c>
      <c r="B43" s="14" t="s">
        <v>143</v>
      </c>
      <c r="C43" s="14"/>
      <c r="D43" s="14"/>
      <c r="E43" s="14"/>
      <c r="F43" s="14">
        <v>16</v>
      </c>
      <c r="G43" s="14"/>
      <c r="H43" s="14"/>
    </row>
    <row r="44" spans="1:8" ht="15">
      <c r="A44" s="14" t="s">
        <v>153</v>
      </c>
      <c r="B44" s="14" t="s">
        <v>169</v>
      </c>
      <c r="C44" s="14"/>
      <c r="D44" s="14"/>
      <c r="E44" s="14"/>
      <c r="F44" s="14"/>
      <c r="G44" s="14">
        <v>116.6</v>
      </c>
      <c r="H44" s="14"/>
    </row>
    <row r="45" spans="1:8" ht="15">
      <c r="A45" s="14" t="s">
        <v>154</v>
      </c>
      <c r="B45" s="14" t="s">
        <v>179</v>
      </c>
      <c r="C45" s="14"/>
      <c r="D45" s="14">
        <v>-317</v>
      </c>
      <c r="E45" s="14"/>
      <c r="F45" s="14">
        <v>311.2</v>
      </c>
      <c r="G45" s="14"/>
      <c r="H45" s="14"/>
    </row>
    <row r="46" spans="1:8" ht="15">
      <c r="A46" s="13"/>
      <c r="B46" s="13" t="s">
        <v>61</v>
      </c>
      <c r="C46" s="15"/>
      <c r="D46" s="15"/>
      <c r="E46" s="13"/>
      <c r="F46" s="13"/>
      <c r="G46" s="13"/>
      <c r="H46" s="14"/>
    </row>
    <row r="47" spans="1:8" ht="15">
      <c r="A47" s="13"/>
      <c r="B47" s="13" t="s">
        <v>62</v>
      </c>
      <c r="C47" s="15">
        <f>C8+C27</f>
        <v>1958.8000000000002</v>
      </c>
      <c r="D47" s="15">
        <f>D8+D27</f>
        <v>2529</v>
      </c>
      <c r="E47" s="15">
        <f>E8+E27</f>
        <v>2773.8</v>
      </c>
      <c r="F47" s="15">
        <f>F8+F27</f>
        <v>2773.8</v>
      </c>
      <c r="G47" s="15">
        <f>G8+G27</f>
        <v>3046.7</v>
      </c>
      <c r="H47" s="14"/>
    </row>
    <row r="48" spans="1:8" ht="15">
      <c r="A48" s="13" t="s">
        <v>64</v>
      </c>
      <c r="B48" s="14" t="s">
        <v>63</v>
      </c>
      <c r="C48" s="14"/>
      <c r="D48" s="14"/>
      <c r="E48" s="14"/>
      <c r="F48" s="14"/>
      <c r="G48" s="14"/>
      <c r="H48" s="14"/>
    </row>
    <row r="49" spans="1:8" ht="14.25">
      <c r="A49" s="13"/>
      <c r="B49" s="13" t="s">
        <v>65</v>
      </c>
      <c r="C49" s="15">
        <f>C47+C48</f>
        <v>1958.8000000000002</v>
      </c>
      <c r="D49" s="15">
        <f>D47+D48</f>
        <v>2529</v>
      </c>
      <c r="E49" s="15">
        <f>E47+E48</f>
        <v>2773.8</v>
      </c>
      <c r="F49" s="15">
        <f>F47+F48</f>
        <v>2773.8</v>
      </c>
      <c r="G49" s="15">
        <f>G47+G48</f>
        <v>3046.7</v>
      </c>
      <c r="H49" s="13"/>
    </row>
    <row r="50" spans="1:8" ht="14.25">
      <c r="A50" s="13"/>
      <c r="B50" s="13" t="s">
        <v>66</v>
      </c>
      <c r="C50" s="15">
        <f>C52+C54+C55</f>
        <v>1958.8000000000002</v>
      </c>
      <c r="D50" s="15">
        <f>D52+D54+D55</f>
        <v>2529</v>
      </c>
      <c r="E50" s="15">
        <f>E52+E54+E55</f>
        <v>2773.8</v>
      </c>
      <c r="F50" s="15">
        <f>F52+F54+F55</f>
        <v>2773.8</v>
      </c>
      <c r="G50" s="15">
        <f>G52+G54+G55</f>
        <v>3046.7</v>
      </c>
      <c r="H50" s="13"/>
    </row>
    <row r="51" spans="1:8" ht="15">
      <c r="A51" s="14"/>
      <c r="B51" s="14" t="s">
        <v>44</v>
      </c>
      <c r="C51" s="14"/>
      <c r="D51" s="14"/>
      <c r="E51" s="14"/>
      <c r="F51" s="14"/>
      <c r="G51" s="14"/>
      <c r="H51" s="14"/>
    </row>
    <row r="52" spans="1:8" ht="15">
      <c r="A52" s="14"/>
      <c r="B52" s="14" t="s">
        <v>67</v>
      </c>
      <c r="C52" s="16">
        <f>C47</f>
        <v>1958.8000000000002</v>
      </c>
      <c r="D52" s="15">
        <v>2529</v>
      </c>
      <c r="E52" s="15">
        <f>E47</f>
        <v>2773.8</v>
      </c>
      <c r="F52" s="13">
        <v>2773.8</v>
      </c>
      <c r="G52" s="15">
        <f>G47</f>
        <v>3046.7</v>
      </c>
      <c r="H52" s="13"/>
    </row>
    <row r="53" spans="1:8" ht="15">
      <c r="A53" s="17"/>
      <c r="B53" s="18" t="s">
        <v>16</v>
      </c>
      <c r="C53" s="13"/>
      <c r="D53" s="13"/>
      <c r="E53" s="13"/>
      <c r="F53" s="13"/>
      <c r="G53" s="13"/>
      <c r="H53" s="13"/>
    </row>
    <row r="54" spans="1:8" ht="15">
      <c r="A54" s="17"/>
      <c r="B54" s="18" t="s">
        <v>68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/>
    </row>
    <row r="55" spans="1:8" ht="15">
      <c r="A55" s="17"/>
      <c r="B55" s="18" t="s">
        <v>69</v>
      </c>
      <c r="C55" s="13"/>
      <c r="D55" s="13"/>
      <c r="E55" s="13"/>
      <c r="F55" s="13"/>
      <c r="G55" s="13"/>
      <c r="H55" s="13"/>
    </row>
    <row r="56" spans="1:8" ht="15">
      <c r="A56" s="17"/>
      <c r="B56" s="18" t="s">
        <v>70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/>
    </row>
    <row r="57" spans="1:8" ht="12.75">
      <c r="A57" s="19"/>
      <c r="B57" s="19" t="s">
        <v>71</v>
      </c>
      <c r="C57" s="27">
        <f>C50-C49</f>
        <v>0</v>
      </c>
      <c r="D57" s="27">
        <f>D50-D49</f>
        <v>0</v>
      </c>
      <c r="E57" s="27">
        <f>E50-E49</f>
        <v>0</v>
      </c>
      <c r="F57" s="27">
        <f>F50-F49</f>
        <v>0</v>
      </c>
      <c r="G57" s="27">
        <f>G50-G49</f>
        <v>0</v>
      </c>
      <c r="H57" s="27"/>
    </row>
    <row r="59" spans="2:5" s="1" customFormat="1" ht="15">
      <c r="B59" s="1" t="s">
        <v>134</v>
      </c>
      <c r="E59" s="1" t="s">
        <v>135</v>
      </c>
    </row>
    <row r="60" s="1" customFormat="1" ht="15"/>
    <row r="61" spans="2:5" s="1" customFormat="1" ht="15">
      <c r="B61" s="1" t="s">
        <v>170</v>
      </c>
      <c r="E61" s="1" t="s">
        <v>171</v>
      </c>
    </row>
    <row r="62" s="1" customFormat="1" ht="15"/>
    <row r="63" spans="2:5" s="1" customFormat="1" ht="15">
      <c r="B63" s="1" t="s">
        <v>136</v>
      </c>
      <c r="E63" s="1" t="s">
        <v>137</v>
      </c>
    </row>
    <row r="64" s="1" customFormat="1" ht="15"/>
    <row r="65" spans="1:8" ht="14.25">
      <c r="A65" s="139" t="s">
        <v>26</v>
      </c>
      <c r="B65" s="139"/>
      <c r="C65" s="139"/>
      <c r="D65" s="139"/>
      <c r="E65" s="139"/>
      <c r="F65" s="139"/>
      <c r="G65" s="139"/>
      <c r="H65" s="139"/>
    </row>
    <row r="66" spans="1:8" ht="14.25">
      <c r="A66" s="139" t="s">
        <v>78</v>
      </c>
      <c r="B66" s="139"/>
      <c r="C66" s="139"/>
      <c r="D66" s="139"/>
      <c r="E66" s="139"/>
      <c r="F66" s="139"/>
      <c r="G66" s="139"/>
      <c r="H66" s="139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2" t="s">
        <v>1</v>
      </c>
      <c r="B68" s="2" t="s">
        <v>27</v>
      </c>
      <c r="C68" s="2" t="s">
        <v>28</v>
      </c>
      <c r="D68" s="2" t="s">
        <v>31</v>
      </c>
      <c r="E68" s="2" t="s">
        <v>28</v>
      </c>
      <c r="F68" s="2" t="s">
        <v>34</v>
      </c>
      <c r="G68" s="2" t="s">
        <v>36</v>
      </c>
      <c r="H68" s="2" t="s">
        <v>40</v>
      </c>
    </row>
    <row r="69" spans="1:8" ht="15">
      <c r="A69" s="5"/>
      <c r="B69" s="5"/>
      <c r="C69" s="3" t="s">
        <v>29</v>
      </c>
      <c r="D69" s="3" t="s">
        <v>32</v>
      </c>
      <c r="E69" s="3" t="s">
        <v>29</v>
      </c>
      <c r="F69" s="3" t="s">
        <v>32</v>
      </c>
      <c r="G69" s="3" t="s">
        <v>37</v>
      </c>
      <c r="H69" s="3" t="s">
        <v>39</v>
      </c>
    </row>
    <row r="70" spans="1:8" ht="15">
      <c r="A70" s="5"/>
      <c r="B70" s="5"/>
      <c r="C70" s="3" t="s">
        <v>30</v>
      </c>
      <c r="D70" s="5" t="s">
        <v>33</v>
      </c>
      <c r="E70" s="3" t="s">
        <v>20</v>
      </c>
      <c r="F70" s="3" t="s">
        <v>35</v>
      </c>
      <c r="G70" s="3" t="s">
        <v>38</v>
      </c>
      <c r="H70" s="5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13"/>
      <c r="B72" s="13" t="s">
        <v>42</v>
      </c>
      <c r="C72" s="13"/>
      <c r="D72" s="13"/>
      <c r="E72" s="13"/>
      <c r="F72" s="13"/>
      <c r="G72" s="13"/>
      <c r="H72" s="14"/>
    </row>
    <row r="73" spans="1:8" ht="14.25">
      <c r="A73" s="13" t="s">
        <v>47</v>
      </c>
      <c r="B73" s="13" t="s">
        <v>43</v>
      </c>
      <c r="C73" s="15">
        <f>C75+C76+C79+C80+C81+C82+C83+C84+C85+C86+C87+C88+C89+C90+C91</f>
        <v>1745.5</v>
      </c>
      <c r="D73" s="15">
        <f>D75+D76+D79+D80+D81+D82+D83+D84+D85+D86+D87+D88+D89+D90+D91</f>
        <v>1745.5</v>
      </c>
      <c r="E73" s="15">
        <f>E75+E76+E79+E80+E81+E82+E83+E84+E85+E86+E87+E88+E89+E90+E91</f>
        <v>1963.7999999999997</v>
      </c>
      <c r="F73" s="15">
        <f>F75+F76+F79+F80+F81+F82+F83+F84+F85+F86+F87+F88+F89+F90+F91</f>
        <v>1963.8</v>
      </c>
      <c r="G73" s="15">
        <f>G75+G76+G79+G80+G81+G82+G83+G84+G85+G86+G87+G88+G89+G90+G91</f>
        <v>2155.7</v>
      </c>
      <c r="H73" s="15">
        <f>G73/E73*100</f>
        <v>109.77187086261331</v>
      </c>
    </row>
    <row r="74" spans="1:8" ht="15">
      <c r="A74" s="13"/>
      <c r="B74" s="14" t="s">
        <v>44</v>
      </c>
      <c r="C74" s="15"/>
      <c r="D74" s="15"/>
      <c r="E74" s="15"/>
      <c r="F74" s="15"/>
      <c r="G74" s="13"/>
      <c r="H74" s="14"/>
    </row>
    <row r="75" spans="1:8" ht="15">
      <c r="A75" s="14" t="s">
        <v>48</v>
      </c>
      <c r="B75" s="14" t="s">
        <v>111</v>
      </c>
      <c r="C75" s="14">
        <v>0</v>
      </c>
      <c r="D75" s="16">
        <v>0</v>
      </c>
      <c r="E75" s="14">
        <v>0</v>
      </c>
      <c r="F75" s="14">
        <v>0</v>
      </c>
      <c r="G75" s="14">
        <v>76.1</v>
      </c>
      <c r="H75" s="16">
        <v>0</v>
      </c>
    </row>
    <row r="76" spans="1:8" ht="15">
      <c r="A76" s="14" t="s">
        <v>49</v>
      </c>
      <c r="B76" s="14" t="s">
        <v>96</v>
      </c>
      <c r="C76" s="16">
        <f>C77+C78</f>
        <v>197.5</v>
      </c>
      <c r="D76" s="16">
        <f>D77+D78</f>
        <v>191.3</v>
      </c>
      <c r="E76" s="14">
        <f>E77+E78</f>
        <v>244</v>
      </c>
      <c r="F76" s="14">
        <f>F77+F78</f>
        <v>244</v>
      </c>
      <c r="G76" s="14">
        <f>G77+G78</f>
        <v>280</v>
      </c>
      <c r="H76" s="16">
        <f aca="true" t="shared" si="1" ref="H76:H91">G76/E76*100</f>
        <v>114.75409836065573</v>
      </c>
    </row>
    <row r="77" spans="1:8" ht="15">
      <c r="A77" s="14"/>
      <c r="B77" s="14" t="s">
        <v>97</v>
      </c>
      <c r="C77" s="14">
        <v>139</v>
      </c>
      <c r="D77" s="16">
        <v>137</v>
      </c>
      <c r="E77" s="14">
        <v>167.6</v>
      </c>
      <c r="F77" s="16">
        <v>167.6</v>
      </c>
      <c r="G77" s="14">
        <v>190.9</v>
      </c>
      <c r="H77" s="16">
        <f t="shared" si="1"/>
        <v>113.90214797136038</v>
      </c>
    </row>
    <row r="78" spans="1:8" ht="15">
      <c r="A78" s="14"/>
      <c r="B78" s="14" t="s">
        <v>98</v>
      </c>
      <c r="C78" s="14">
        <v>58.5</v>
      </c>
      <c r="D78" s="16">
        <v>54.3</v>
      </c>
      <c r="E78" s="14">
        <v>76.4</v>
      </c>
      <c r="F78" s="14">
        <v>76.4</v>
      </c>
      <c r="G78" s="14">
        <v>89.1</v>
      </c>
      <c r="H78" s="16">
        <f t="shared" si="1"/>
        <v>116.62303664921465</v>
      </c>
    </row>
    <row r="79" spans="1:8" ht="15">
      <c r="A79" s="14" t="s">
        <v>50</v>
      </c>
      <c r="B79" s="14" t="s">
        <v>99</v>
      </c>
      <c r="C79" s="14">
        <v>21.2</v>
      </c>
      <c r="D79" s="16">
        <v>20.2</v>
      </c>
      <c r="E79" s="14">
        <v>23.9</v>
      </c>
      <c r="F79" s="16">
        <v>23.9</v>
      </c>
      <c r="G79" s="14">
        <v>27.3</v>
      </c>
      <c r="H79" s="16">
        <f t="shared" si="1"/>
        <v>114.22594142259415</v>
      </c>
    </row>
    <row r="80" spans="1:8" ht="15">
      <c r="A80" s="14" t="s">
        <v>51</v>
      </c>
      <c r="B80" s="14" t="s">
        <v>100</v>
      </c>
      <c r="C80" s="14">
        <v>46.8</v>
      </c>
      <c r="D80" s="16">
        <v>46.8</v>
      </c>
      <c r="E80" s="14">
        <v>52.7</v>
      </c>
      <c r="F80" s="14">
        <v>52.7</v>
      </c>
      <c r="G80" s="14">
        <v>51</v>
      </c>
      <c r="H80" s="16">
        <f t="shared" si="1"/>
        <v>96.77419354838709</v>
      </c>
    </row>
    <row r="81" spans="1:8" ht="15">
      <c r="A81" s="14" t="s">
        <v>52</v>
      </c>
      <c r="B81" s="14" t="s">
        <v>101</v>
      </c>
      <c r="C81" s="14">
        <v>20.3</v>
      </c>
      <c r="D81" s="16">
        <v>20.3</v>
      </c>
      <c r="E81" s="14">
        <v>22.8</v>
      </c>
      <c r="F81" s="16">
        <v>22</v>
      </c>
      <c r="G81" s="14">
        <v>22</v>
      </c>
      <c r="H81" s="16">
        <f t="shared" si="1"/>
        <v>96.49122807017544</v>
      </c>
    </row>
    <row r="82" spans="1:8" ht="15">
      <c r="A82" s="14" t="s">
        <v>53</v>
      </c>
      <c r="B82" s="14" t="s">
        <v>45</v>
      </c>
      <c r="C82" s="14">
        <v>166.9</v>
      </c>
      <c r="D82" s="16">
        <v>163</v>
      </c>
      <c r="E82" s="14">
        <v>187.8</v>
      </c>
      <c r="F82" s="16">
        <v>184</v>
      </c>
      <c r="G82" s="14">
        <v>181.8</v>
      </c>
      <c r="H82" s="16">
        <f t="shared" si="1"/>
        <v>96.80511182108627</v>
      </c>
    </row>
    <row r="83" spans="1:8" ht="15">
      <c r="A83" s="14" t="s">
        <v>54</v>
      </c>
      <c r="B83" s="14" t="s">
        <v>102</v>
      </c>
      <c r="C83" s="14">
        <v>207.4</v>
      </c>
      <c r="D83" s="16">
        <v>203.1</v>
      </c>
      <c r="E83" s="14">
        <v>233.3</v>
      </c>
      <c r="F83" s="16">
        <v>218</v>
      </c>
      <c r="G83" s="14">
        <v>225.9</v>
      </c>
      <c r="H83" s="16">
        <f t="shared" si="1"/>
        <v>96.82811830261466</v>
      </c>
    </row>
    <row r="84" spans="1:8" ht="15">
      <c r="A84" s="14" t="s">
        <v>72</v>
      </c>
      <c r="B84" s="14" t="s">
        <v>103</v>
      </c>
      <c r="C84" s="14">
        <v>68.1</v>
      </c>
      <c r="D84" s="16">
        <v>68.1</v>
      </c>
      <c r="E84" s="14">
        <v>76.6</v>
      </c>
      <c r="F84" s="16">
        <v>75</v>
      </c>
      <c r="G84" s="14">
        <v>74.3</v>
      </c>
      <c r="H84" s="16">
        <f t="shared" si="1"/>
        <v>96.99738903394255</v>
      </c>
    </row>
    <row r="85" spans="1:8" ht="15">
      <c r="A85" s="14" t="s">
        <v>90</v>
      </c>
      <c r="B85" s="14" t="s">
        <v>46</v>
      </c>
      <c r="C85" s="14">
        <v>357.8</v>
      </c>
      <c r="D85" s="16">
        <v>357.8</v>
      </c>
      <c r="E85" s="14">
        <v>402.5</v>
      </c>
      <c r="F85" s="16">
        <v>402</v>
      </c>
      <c r="G85" s="14">
        <v>436</v>
      </c>
      <c r="H85" s="16">
        <f t="shared" si="1"/>
        <v>108.32298136645963</v>
      </c>
    </row>
    <row r="86" spans="1:8" ht="15">
      <c r="A86" s="14" t="s">
        <v>92</v>
      </c>
      <c r="B86" s="14" t="s">
        <v>93</v>
      </c>
      <c r="C86" s="14">
        <v>57.4</v>
      </c>
      <c r="D86" s="16">
        <v>59.5</v>
      </c>
      <c r="E86" s="14">
        <v>64.6</v>
      </c>
      <c r="F86" s="16">
        <v>51.2</v>
      </c>
      <c r="G86" s="14">
        <v>109.5</v>
      </c>
      <c r="H86" s="16">
        <f t="shared" si="1"/>
        <v>169.50464396284832</v>
      </c>
    </row>
    <row r="87" spans="1:8" ht="15">
      <c r="A87" s="14" t="s">
        <v>94</v>
      </c>
      <c r="B87" s="14" t="s">
        <v>95</v>
      </c>
      <c r="C87" s="14">
        <v>12.9</v>
      </c>
      <c r="D87" s="16">
        <v>15.5</v>
      </c>
      <c r="E87" s="14">
        <f>4.5+10</f>
        <v>14.5</v>
      </c>
      <c r="F87" s="16">
        <v>25</v>
      </c>
      <c r="G87" s="14">
        <v>25.8</v>
      </c>
      <c r="H87" s="16">
        <f t="shared" si="1"/>
        <v>177.93103448275863</v>
      </c>
    </row>
    <row r="88" spans="1:8" ht="15">
      <c r="A88" s="14" t="s">
        <v>104</v>
      </c>
      <c r="B88" s="14" t="s">
        <v>91</v>
      </c>
      <c r="C88" s="14">
        <v>133.8</v>
      </c>
      <c r="D88" s="16">
        <v>125.5</v>
      </c>
      <c r="E88" s="14">
        <f>321.7+3.1-E89</f>
        <v>150.5</v>
      </c>
      <c r="F88" s="16">
        <v>148.9</v>
      </c>
      <c r="G88" s="14">
        <v>133.3</v>
      </c>
      <c r="H88" s="16">
        <f t="shared" si="1"/>
        <v>88.57142857142858</v>
      </c>
    </row>
    <row r="89" spans="1:8" ht="15">
      <c r="A89" s="14" t="s">
        <v>106</v>
      </c>
      <c r="B89" s="14" t="s">
        <v>105</v>
      </c>
      <c r="C89" s="14">
        <v>174.3</v>
      </c>
      <c r="D89" s="16">
        <v>174.3</v>
      </c>
      <c r="E89" s="14">
        <v>174.3</v>
      </c>
      <c r="F89" s="16">
        <v>174.3</v>
      </c>
      <c r="G89" s="14">
        <v>175.2</v>
      </c>
      <c r="H89" s="16">
        <f t="shared" si="1"/>
        <v>100.51635111876074</v>
      </c>
    </row>
    <row r="90" spans="1:8" ht="15">
      <c r="A90" s="14" t="s">
        <v>109</v>
      </c>
      <c r="B90" s="14" t="s">
        <v>108</v>
      </c>
      <c r="C90" s="14">
        <v>181.5</v>
      </c>
      <c r="D90" s="16">
        <v>200.5</v>
      </c>
      <c r="E90" s="14">
        <v>204.2</v>
      </c>
      <c r="F90" s="16">
        <v>230.7</v>
      </c>
      <c r="G90" s="14">
        <v>232</v>
      </c>
      <c r="H90" s="16">
        <f t="shared" si="1"/>
        <v>113.61410381978455</v>
      </c>
    </row>
    <row r="91" spans="1:8" ht="15">
      <c r="A91" s="14" t="s">
        <v>110</v>
      </c>
      <c r="B91" s="14" t="s">
        <v>107</v>
      </c>
      <c r="C91" s="14">
        <v>99.6</v>
      </c>
      <c r="D91" s="16">
        <v>99.6</v>
      </c>
      <c r="E91" s="14">
        <v>112.1</v>
      </c>
      <c r="F91" s="16">
        <v>112.1</v>
      </c>
      <c r="G91" s="14">
        <v>105.5</v>
      </c>
      <c r="H91" s="16">
        <f t="shared" si="1"/>
        <v>94.11239964317573</v>
      </c>
    </row>
    <row r="92" spans="1:8" s="10" customFormat="1" ht="14.25">
      <c r="A92" s="13" t="s">
        <v>55</v>
      </c>
      <c r="B92" s="13" t="s">
        <v>56</v>
      </c>
      <c r="C92" s="13">
        <f>C94+C95+C96+C97+C98+C99+C100+C101+C102+C103+C104+C105+C106+C107+C108+C109</f>
        <v>0</v>
      </c>
      <c r="D92" s="13">
        <f>D94+D95+D96+D97+D98+D99+D100+D101+D102+D103+D104+D105+D106+D107+D108+D109</f>
        <v>736.0999999999999</v>
      </c>
      <c r="E92" s="13">
        <f>E94+E95+E96+E97+E98+E99+E100+E101+E102+E103+E104+E105+E106+E107+E108+E109</f>
        <v>506.5</v>
      </c>
      <c r="F92" s="13">
        <f>F94+F95+F96+F97+F98+F99+F100+F101+F102+F103+F104+F105+F106+F107+F108+F109</f>
        <v>506.5</v>
      </c>
      <c r="G92" s="13">
        <f>G94+G95+G96+G97+G98+G99+G100+G101+G102+G103+G104+G105+G106+G107+G108+G109</f>
        <v>557.2</v>
      </c>
      <c r="H92" s="15">
        <v>109.8</v>
      </c>
    </row>
    <row r="93" spans="1:8" ht="15">
      <c r="A93" s="14"/>
      <c r="B93" s="14" t="s">
        <v>44</v>
      </c>
      <c r="C93" s="14"/>
      <c r="D93" s="14"/>
      <c r="E93" s="14"/>
      <c r="F93" s="14"/>
      <c r="G93" s="14"/>
      <c r="H93" s="14"/>
    </row>
    <row r="94" spans="1:8" ht="15">
      <c r="A94" s="14" t="s">
        <v>57</v>
      </c>
      <c r="B94" s="14" t="s">
        <v>73</v>
      </c>
      <c r="C94" s="14"/>
      <c r="D94" s="14">
        <v>297.1</v>
      </c>
      <c r="E94" s="14"/>
      <c r="F94" s="14"/>
      <c r="G94" s="14"/>
      <c r="H94" s="14"/>
    </row>
    <row r="95" spans="1:8" ht="15">
      <c r="A95" s="14" t="s">
        <v>58</v>
      </c>
      <c r="B95" s="14" t="s">
        <v>74</v>
      </c>
      <c r="C95" s="14"/>
      <c r="D95" s="14">
        <f>14+33.2</f>
        <v>47.2</v>
      </c>
      <c r="E95" s="14">
        <v>90</v>
      </c>
      <c r="F95" s="14">
        <v>4.4</v>
      </c>
      <c r="G95" s="14">
        <v>56</v>
      </c>
      <c r="H95" s="14"/>
    </row>
    <row r="96" spans="1:8" ht="15">
      <c r="A96" s="14" t="s">
        <v>59</v>
      </c>
      <c r="B96" s="14" t="s">
        <v>155</v>
      </c>
      <c r="C96" s="14"/>
      <c r="D96" s="14">
        <v>93.3</v>
      </c>
      <c r="E96" s="14">
        <v>102.3</v>
      </c>
      <c r="F96" s="14">
        <v>39.4</v>
      </c>
      <c r="G96" s="14">
        <v>131.6</v>
      </c>
      <c r="H96" s="14"/>
    </row>
    <row r="97" spans="1:8" ht="15">
      <c r="A97" s="14" t="s">
        <v>60</v>
      </c>
      <c r="B97" s="14" t="s">
        <v>166</v>
      </c>
      <c r="C97" s="14"/>
      <c r="D97" s="14"/>
      <c r="E97" s="14"/>
      <c r="F97" s="14"/>
      <c r="G97" s="14">
        <v>30</v>
      </c>
      <c r="H97" s="14"/>
    </row>
    <row r="98" spans="1:8" ht="15">
      <c r="A98" s="14" t="s">
        <v>85</v>
      </c>
      <c r="B98" s="14" t="s">
        <v>77</v>
      </c>
      <c r="C98" s="14"/>
      <c r="D98" s="14">
        <v>4.7</v>
      </c>
      <c r="E98" s="14"/>
      <c r="F98" s="14"/>
      <c r="G98" s="14"/>
      <c r="H98" s="14"/>
    </row>
    <row r="99" spans="1:8" ht="15">
      <c r="A99" s="14" t="s">
        <v>87</v>
      </c>
      <c r="B99" s="14" t="s">
        <v>172</v>
      </c>
      <c r="C99" s="14"/>
      <c r="D99" s="14"/>
      <c r="E99" s="14"/>
      <c r="F99" s="14"/>
      <c r="G99" s="14">
        <f>46.2+25.1</f>
        <v>71.30000000000001</v>
      </c>
      <c r="H99" s="14"/>
    </row>
    <row r="100" spans="1:8" ht="15">
      <c r="A100" s="14" t="s">
        <v>145</v>
      </c>
      <c r="B100" s="14" t="s">
        <v>89</v>
      </c>
      <c r="C100" s="14"/>
      <c r="D100" s="14">
        <f>127.5+156</f>
        <v>283.5</v>
      </c>
      <c r="E100" s="14"/>
      <c r="F100" s="14"/>
      <c r="G100" s="14"/>
      <c r="H100" s="14"/>
    </row>
    <row r="101" spans="1:8" ht="15">
      <c r="A101" s="14" t="s">
        <v>146</v>
      </c>
      <c r="B101" s="14" t="s">
        <v>173</v>
      </c>
      <c r="C101" s="14"/>
      <c r="D101" s="14"/>
      <c r="E101" s="14"/>
      <c r="F101" s="14"/>
      <c r="G101" s="14">
        <v>220.3</v>
      </c>
      <c r="H101" s="14"/>
    </row>
    <row r="102" spans="1:8" ht="15">
      <c r="A102" s="14" t="s">
        <v>147</v>
      </c>
      <c r="B102" s="14" t="s">
        <v>139</v>
      </c>
      <c r="C102" s="14"/>
      <c r="D102" s="14"/>
      <c r="E102" s="14">
        <v>34.2</v>
      </c>
      <c r="F102" s="14">
        <v>6.4</v>
      </c>
      <c r="G102" s="14">
        <v>48</v>
      </c>
      <c r="H102" s="14"/>
    </row>
    <row r="103" spans="1:8" ht="15">
      <c r="A103" s="14" t="s">
        <v>148</v>
      </c>
      <c r="B103" s="14" t="s">
        <v>140</v>
      </c>
      <c r="C103" s="14"/>
      <c r="D103" s="14">
        <v>10.3</v>
      </c>
      <c r="E103" s="14"/>
      <c r="F103" s="14">
        <v>43.2</v>
      </c>
      <c r="G103" s="14"/>
      <c r="H103" s="14"/>
    </row>
    <row r="104" spans="1:8" ht="15">
      <c r="A104" s="14" t="s">
        <v>180</v>
      </c>
      <c r="B104" s="14" t="s">
        <v>141</v>
      </c>
      <c r="C104" s="14"/>
      <c r="D104" s="14"/>
      <c r="E104" s="14"/>
      <c r="F104" s="14">
        <v>44.3</v>
      </c>
      <c r="G104" s="14"/>
      <c r="H104" s="14"/>
    </row>
    <row r="105" spans="1:8" ht="15">
      <c r="A105" s="14" t="s">
        <v>149</v>
      </c>
      <c r="B105" s="14" t="s">
        <v>142</v>
      </c>
      <c r="C105" s="14"/>
      <c r="D105" s="14"/>
      <c r="E105" s="14"/>
      <c r="F105" s="14"/>
      <c r="G105" s="14"/>
      <c r="H105" s="14"/>
    </row>
    <row r="106" spans="1:8" ht="15">
      <c r="A106" s="14" t="s">
        <v>150</v>
      </c>
      <c r="B106" s="14" t="s">
        <v>80</v>
      </c>
      <c r="C106" s="14"/>
      <c r="D106" s="14"/>
      <c r="E106" s="14">
        <v>280</v>
      </c>
      <c r="F106" s="14"/>
      <c r="G106" s="14"/>
      <c r="H106" s="14"/>
    </row>
    <row r="107" spans="1:8" ht="15">
      <c r="A107" s="14" t="s">
        <v>151</v>
      </c>
      <c r="B107" s="14" t="s">
        <v>144</v>
      </c>
      <c r="C107" s="14"/>
      <c r="D107" s="14"/>
      <c r="E107" s="14"/>
      <c r="F107" s="14"/>
      <c r="G107" s="14"/>
      <c r="H107" s="14"/>
    </row>
    <row r="108" spans="1:8" ht="15">
      <c r="A108" s="14" t="s">
        <v>152</v>
      </c>
      <c r="B108" s="14" t="s">
        <v>143</v>
      </c>
      <c r="C108" s="14"/>
      <c r="D108" s="14"/>
      <c r="E108" s="14"/>
      <c r="F108" s="14">
        <v>16</v>
      </c>
      <c r="G108" s="14"/>
      <c r="H108" s="14"/>
    </row>
    <row r="109" spans="1:8" ht="15">
      <c r="A109" s="14" t="s">
        <v>153</v>
      </c>
      <c r="B109" s="14" t="s">
        <v>179</v>
      </c>
      <c r="C109" s="14"/>
      <c r="D109" s="14"/>
      <c r="E109" s="14"/>
      <c r="F109" s="14">
        <v>352.8</v>
      </c>
      <c r="G109" s="14"/>
      <c r="H109" s="14"/>
    </row>
    <row r="110" spans="1:8" ht="15">
      <c r="A110" s="13"/>
      <c r="B110" s="13" t="s">
        <v>61</v>
      </c>
      <c r="C110" s="13"/>
      <c r="D110" s="13"/>
      <c r="E110" s="13"/>
      <c r="F110" s="13"/>
      <c r="G110" s="13"/>
      <c r="H110" s="14"/>
    </row>
    <row r="111" spans="1:8" ht="15">
      <c r="A111" s="13"/>
      <c r="B111" s="13" t="s">
        <v>62</v>
      </c>
      <c r="C111" s="15">
        <f>C73+C92</f>
        <v>1745.5</v>
      </c>
      <c r="D111" s="15">
        <f>D73+D92</f>
        <v>2481.6</v>
      </c>
      <c r="E111" s="15">
        <f>E73+E92</f>
        <v>2470.2999999999997</v>
      </c>
      <c r="F111" s="15">
        <f>F73+F92</f>
        <v>2470.3</v>
      </c>
      <c r="G111" s="15">
        <f>G73+G92</f>
        <v>2712.8999999999996</v>
      </c>
      <c r="H111" s="14"/>
    </row>
    <row r="112" spans="1:8" ht="15">
      <c r="A112" s="13" t="s">
        <v>64</v>
      </c>
      <c r="B112" s="14" t="s">
        <v>63</v>
      </c>
      <c r="C112" s="14">
        <v>4.4</v>
      </c>
      <c r="D112" s="14">
        <v>4.4</v>
      </c>
      <c r="E112" s="14">
        <v>5.3</v>
      </c>
      <c r="F112" s="14">
        <v>5.3</v>
      </c>
      <c r="G112" s="14"/>
      <c r="H112" s="14"/>
    </row>
    <row r="113" spans="1:8" ht="14.25">
      <c r="A113" s="13"/>
      <c r="B113" s="13" t="s">
        <v>65</v>
      </c>
      <c r="C113" s="15">
        <f>C111+C112</f>
        <v>1749.9</v>
      </c>
      <c r="D113" s="15">
        <f>D111+D112</f>
        <v>2486</v>
      </c>
      <c r="E113" s="15">
        <f>E111+E112</f>
        <v>2475.6</v>
      </c>
      <c r="F113" s="15">
        <f>F111+F112</f>
        <v>2475.6000000000004</v>
      </c>
      <c r="G113" s="15">
        <f>G111+G112</f>
        <v>2712.8999999999996</v>
      </c>
      <c r="H113" s="13"/>
    </row>
    <row r="114" spans="1:8" ht="14.25">
      <c r="A114" s="13"/>
      <c r="B114" s="13" t="s">
        <v>66</v>
      </c>
      <c r="C114" s="15">
        <f>C116+C118+C119</f>
        <v>1749.9</v>
      </c>
      <c r="D114" s="15">
        <f>D116+D118+D119</f>
        <v>2486</v>
      </c>
      <c r="E114" s="15">
        <f>E116+E118+E119</f>
        <v>2475.6</v>
      </c>
      <c r="F114" s="15">
        <f>F116+F118+F119</f>
        <v>2475.6000000000004</v>
      </c>
      <c r="G114" s="15">
        <f>G116+G118+G119</f>
        <v>2712.8999999999996</v>
      </c>
      <c r="H114" s="13"/>
    </row>
    <row r="115" spans="1:8" ht="15">
      <c r="A115" s="14"/>
      <c r="B115" s="14" t="s">
        <v>44</v>
      </c>
      <c r="C115" s="14"/>
      <c r="D115" s="14"/>
      <c r="E115" s="14"/>
      <c r="F115" s="14"/>
      <c r="G115" s="14"/>
      <c r="H115" s="14"/>
    </row>
    <row r="116" spans="1:8" ht="15">
      <c r="A116" s="14"/>
      <c r="B116" s="14" t="s">
        <v>67</v>
      </c>
      <c r="C116" s="16">
        <f>C73+C92</f>
        <v>1745.5</v>
      </c>
      <c r="D116" s="16">
        <f>D73+D92</f>
        <v>2481.6</v>
      </c>
      <c r="E116" s="16">
        <f>E73+E92</f>
        <v>2470.2999999999997</v>
      </c>
      <c r="F116" s="16">
        <f>F73+F92</f>
        <v>2470.3</v>
      </c>
      <c r="G116" s="16">
        <f>G73+G92</f>
        <v>2712.8999999999996</v>
      </c>
      <c r="H116" s="13"/>
    </row>
    <row r="117" spans="1:8" ht="15">
      <c r="A117" s="17"/>
      <c r="B117" s="18" t="s">
        <v>16</v>
      </c>
      <c r="C117" s="13"/>
      <c r="D117" s="13"/>
      <c r="E117" s="13"/>
      <c r="F117" s="13"/>
      <c r="G117" s="13"/>
      <c r="H117" s="13"/>
    </row>
    <row r="118" spans="1:8" ht="15">
      <c r="A118" s="17"/>
      <c r="B118" s="18" t="s">
        <v>68</v>
      </c>
      <c r="C118" s="17">
        <v>4.4</v>
      </c>
      <c r="D118" s="17">
        <v>4.4</v>
      </c>
      <c r="E118" s="17">
        <v>5.3</v>
      </c>
      <c r="F118" s="28">
        <v>5.3</v>
      </c>
      <c r="G118" s="17"/>
      <c r="H118" s="17"/>
    </row>
    <row r="119" spans="1:8" ht="15">
      <c r="A119" s="17"/>
      <c r="B119" s="18" t="s">
        <v>69</v>
      </c>
      <c r="C119" s="13"/>
      <c r="D119" s="13"/>
      <c r="E119" s="13"/>
      <c r="F119" s="13"/>
      <c r="G119" s="13"/>
      <c r="H119" s="13"/>
    </row>
    <row r="120" spans="1:8" ht="15">
      <c r="A120" s="17"/>
      <c r="B120" s="18" t="s">
        <v>70</v>
      </c>
      <c r="C120" s="13"/>
      <c r="D120" s="13"/>
      <c r="E120" s="13"/>
      <c r="F120" s="13"/>
      <c r="G120" s="13"/>
      <c r="H120" s="13"/>
    </row>
    <row r="121" spans="1:8" ht="12.75">
      <c r="A121" s="19"/>
      <c r="B121" s="19" t="s">
        <v>71</v>
      </c>
      <c r="C121" s="27">
        <f>C114-C113</f>
        <v>0</v>
      </c>
      <c r="D121" s="27">
        <f>D114-D113</f>
        <v>0</v>
      </c>
      <c r="E121" s="27">
        <f>E114-E113</f>
        <v>0</v>
      </c>
      <c r="F121" s="27">
        <f>F114-F113</f>
        <v>0</v>
      </c>
      <c r="G121" s="27">
        <f>G114-G113</f>
        <v>0</v>
      </c>
      <c r="H121" s="19"/>
    </row>
    <row r="123" spans="2:5" s="1" customFormat="1" ht="15">
      <c r="B123" s="1" t="s">
        <v>134</v>
      </c>
      <c r="E123" s="1" t="s">
        <v>135</v>
      </c>
    </row>
    <row r="124" s="1" customFormat="1" ht="15"/>
    <row r="125" spans="2:5" s="1" customFormat="1" ht="15">
      <c r="B125" s="1" t="s">
        <v>170</v>
      </c>
      <c r="E125" s="1" t="s">
        <v>171</v>
      </c>
    </row>
    <row r="126" s="1" customFormat="1" ht="15"/>
    <row r="127" spans="2:5" s="1" customFormat="1" ht="15">
      <c r="B127" s="1" t="s">
        <v>136</v>
      </c>
      <c r="E127" s="1" t="s">
        <v>137</v>
      </c>
    </row>
    <row r="128" s="1" customFormat="1" ht="15"/>
    <row r="129" spans="1:8" ht="14.25">
      <c r="A129" s="139" t="s">
        <v>26</v>
      </c>
      <c r="B129" s="139"/>
      <c r="C129" s="139"/>
      <c r="D129" s="139"/>
      <c r="E129" s="139"/>
      <c r="F129" s="139"/>
      <c r="G129" s="139"/>
      <c r="H129" s="139"/>
    </row>
    <row r="130" spans="1:8" ht="14.25">
      <c r="A130" s="139" t="s">
        <v>81</v>
      </c>
      <c r="B130" s="139"/>
      <c r="C130" s="139"/>
      <c r="D130" s="139"/>
      <c r="E130" s="139"/>
      <c r="F130" s="139"/>
      <c r="G130" s="139"/>
      <c r="H130" s="139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2" t="s">
        <v>1</v>
      </c>
      <c r="B132" s="2" t="s">
        <v>27</v>
      </c>
      <c r="C132" s="2" t="s">
        <v>28</v>
      </c>
      <c r="D132" s="2" t="s">
        <v>31</v>
      </c>
      <c r="E132" s="2" t="s">
        <v>28</v>
      </c>
      <c r="F132" s="2" t="s">
        <v>34</v>
      </c>
      <c r="G132" s="2" t="s">
        <v>36</v>
      </c>
      <c r="H132" s="2" t="s">
        <v>40</v>
      </c>
    </row>
    <row r="133" spans="1:8" ht="15">
      <c r="A133" s="5"/>
      <c r="B133" s="5"/>
      <c r="C133" s="3" t="s">
        <v>29</v>
      </c>
      <c r="D133" s="3" t="s">
        <v>32</v>
      </c>
      <c r="E133" s="3" t="s">
        <v>29</v>
      </c>
      <c r="F133" s="3" t="s">
        <v>32</v>
      </c>
      <c r="G133" s="3" t="s">
        <v>37</v>
      </c>
      <c r="H133" s="3" t="s">
        <v>39</v>
      </c>
    </row>
    <row r="134" spans="1:8" ht="15">
      <c r="A134" s="5"/>
      <c r="B134" s="5"/>
      <c r="C134" s="3" t="s">
        <v>30</v>
      </c>
      <c r="D134" s="5" t="s">
        <v>33</v>
      </c>
      <c r="E134" s="3" t="s">
        <v>20</v>
      </c>
      <c r="F134" s="3" t="s">
        <v>35</v>
      </c>
      <c r="G134" s="3" t="s">
        <v>38</v>
      </c>
      <c r="H134" s="5"/>
    </row>
    <row r="135" spans="1:8" ht="15">
      <c r="A135" s="6"/>
      <c r="B135" s="6"/>
      <c r="C135" s="6"/>
      <c r="D135" s="5"/>
      <c r="E135" s="6"/>
      <c r="F135" s="6"/>
      <c r="G135" s="6"/>
      <c r="H135" s="6"/>
    </row>
    <row r="136" spans="1:8" ht="15">
      <c r="A136" s="13"/>
      <c r="B136" s="13" t="s">
        <v>42</v>
      </c>
      <c r="C136" s="13"/>
      <c r="D136" s="13"/>
      <c r="E136" s="13"/>
      <c r="F136" s="13"/>
      <c r="G136" s="13"/>
      <c r="H136" s="14"/>
    </row>
    <row r="137" spans="1:8" ht="14.25">
      <c r="A137" s="13" t="s">
        <v>47</v>
      </c>
      <c r="B137" s="13" t="s">
        <v>43</v>
      </c>
      <c r="C137" s="15">
        <f>C139+C140+C143+C144+C145+C146+C147+C148+C149+C150+C151+C152+C153+C154+C155</f>
        <v>365.4</v>
      </c>
      <c r="D137" s="15">
        <f>D139+D140+D143+D144+D145+D146+D147+D148+D149+D150+D151+D152+D153+D154+D155</f>
        <v>365.4</v>
      </c>
      <c r="E137" s="15">
        <f>E139+E140+E143+E144+E145+E146+E147+E148+E149+E150+E151+E152+E153+E154+E155</f>
        <v>411.2</v>
      </c>
      <c r="F137" s="15">
        <f>F139+F140+F143+F144+F145+F146+F147+F148+F149+F150+F151+F152+F153+F154+F155</f>
        <v>411.19999999999993</v>
      </c>
      <c r="G137" s="15">
        <f>G139+G140+G143+G144+G145+G146+G147+G148+G149+G150+G151+G152+G153+G154+G155</f>
        <v>451.30000000000007</v>
      </c>
      <c r="H137" s="15">
        <f>G137/E137*100</f>
        <v>109.75194552529184</v>
      </c>
    </row>
    <row r="138" spans="1:8" ht="15">
      <c r="A138" s="13"/>
      <c r="B138" s="14" t="s">
        <v>44</v>
      </c>
      <c r="C138" s="15"/>
      <c r="D138" s="15"/>
      <c r="E138" s="15"/>
      <c r="F138" s="15"/>
      <c r="G138" s="13"/>
      <c r="H138" s="14"/>
    </row>
    <row r="139" spans="1:8" ht="15">
      <c r="A139" s="14" t="s">
        <v>48</v>
      </c>
      <c r="B139" s="14" t="s">
        <v>111</v>
      </c>
      <c r="C139" s="14">
        <v>32.5</v>
      </c>
      <c r="D139" s="16">
        <v>32.5</v>
      </c>
      <c r="E139" s="14">
        <f>9.4+5.8+6.2+9.2+6</f>
        <v>36.599999999999994</v>
      </c>
      <c r="F139" s="14">
        <v>36.6</v>
      </c>
      <c r="G139" s="14">
        <v>30</v>
      </c>
      <c r="H139" s="16">
        <v>0</v>
      </c>
    </row>
    <row r="140" spans="1:8" ht="15">
      <c r="A140" s="14" t="s">
        <v>49</v>
      </c>
      <c r="B140" s="14" t="s">
        <v>96</v>
      </c>
      <c r="C140" s="16">
        <f>C141+C142</f>
        <v>60.599999999999994</v>
      </c>
      <c r="D140" s="16">
        <f>D141+D142</f>
        <v>57.8</v>
      </c>
      <c r="E140" s="14">
        <f>E141+E142</f>
        <v>72.6</v>
      </c>
      <c r="F140" s="14">
        <f>F141+F142</f>
        <v>72.6</v>
      </c>
      <c r="G140" s="14">
        <f>G141+G142</f>
        <v>83.4</v>
      </c>
      <c r="H140" s="16">
        <f aca="true" t="shared" si="2" ref="H140:H155">G140/E140*100</f>
        <v>114.87603305785126</v>
      </c>
    </row>
    <row r="141" spans="1:8" ht="15">
      <c r="A141" s="14"/>
      <c r="B141" s="14" t="s">
        <v>97</v>
      </c>
      <c r="C141" s="14">
        <v>46.4</v>
      </c>
      <c r="D141" s="16">
        <v>44.3</v>
      </c>
      <c r="E141" s="14">
        <v>56.6</v>
      </c>
      <c r="F141" s="16">
        <v>56.6</v>
      </c>
      <c r="G141" s="14">
        <v>64.8</v>
      </c>
      <c r="H141" s="16">
        <f t="shared" si="2"/>
        <v>114.48763250883391</v>
      </c>
    </row>
    <row r="142" spans="1:8" ht="15">
      <c r="A142" s="14"/>
      <c r="B142" s="14" t="s">
        <v>98</v>
      </c>
      <c r="C142" s="14">
        <v>14.2</v>
      </c>
      <c r="D142" s="16">
        <v>13.5</v>
      </c>
      <c r="E142" s="14">
        <v>16</v>
      </c>
      <c r="F142" s="14">
        <v>16</v>
      </c>
      <c r="G142" s="14">
        <v>18.6</v>
      </c>
      <c r="H142" s="16">
        <f t="shared" si="2"/>
        <v>116.25000000000001</v>
      </c>
    </row>
    <row r="143" spans="1:8" ht="15">
      <c r="A143" s="14" t="s">
        <v>50</v>
      </c>
      <c r="B143" s="14" t="s">
        <v>99</v>
      </c>
      <c r="C143" s="14">
        <v>7.2</v>
      </c>
      <c r="D143" s="16">
        <v>7.2</v>
      </c>
      <c r="E143" s="14">
        <v>8.1</v>
      </c>
      <c r="F143" s="16">
        <v>8.1</v>
      </c>
      <c r="G143" s="14">
        <v>9.2</v>
      </c>
      <c r="H143" s="16">
        <f t="shared" si="2"/>
        <v>113.58024691358024</v>
      </c>
    </row>
    <row r="144" spans="1:8" ht="15">
      <c r="A144" s="14" t="s">
        <v>51</v>
      </c>
      <c r="B144" s="14" t="s">
        <v>100</v>
      </c>
      <c r="C144" s="14">
        <v>9.8</v>
      </c>
      <c r="D144" s="16">
        <v>9.8</v>
      </c>
      <c r="E144" s="14">
        <v>11</v>
      </c>
      <c r="F144" s="14">
        <v>11</v>
      </c>
      <c r="G144" s="14">
        <v>10.7</v>
      </c>
      <c r="H144" s="16">
        <f t="shared" si="2"/>
        <v>97.27272727272727</v>
      </c>
    </row>
    <row r="145" spans="1:8" ht="15">
      <c r="A145" s="14" t="s">
        <v>52</v>
      </c>
      <c r="B145" s="14" t="s">
        <v>101</v>
      </c>
      <c r="C145" s="14">
        <v>6.8</v>
      </c>
      <c r="D145" s="16">
        <v>6.8</v>
      </c>
      <c r="E145" s="14">
        <v>7.7</v>
      </c>
      <c r="F145" s="16">
        <v>7.7</v>
      </c>
      <c r="G145" s="14">
        <v>7.4</v>
      </c>
      <c r="H145" s="16">
        <f t="shared" si="2"/>
        <v>96.1038961038961</v>
      </c>
    </row>
    <row r="146" spans="1:8" ht="15">
      <c r="A146" s="14" t="s">
        <v>53</v>
      </c>
      <c r="B146" s="14" t="s">
        <v>45</v>
      </c>
      <c r="C146" s="14">
        <v>24.1</v>
      </c>
      <c r="D146" s="16">
        <v>23</v>
      </c>
      <c r="E146" s="14">
        <v>27.1</v>
      </c>
      <c r="F146" s="16">
        <v>26</v>
      </c>
      <c r="G146" s="14">
        <v>26.3</v>
      </c>
      <c r="H146" s="16">
        <f t="shared" si="2"/>
        <v>97.04797047970479</v>
      </c>
    </row>
    <row r="147" spans="1:8" ht="15">
      <c r="A147" s="14" t="s">
        <v>54</v>
      </c>
      <c r="B147" s="14" t="s">
        <v>102</v>
      </c>
      <c r="C147" s="14">
        <v>17.2</v>
      </c>
      <c r="D147" s="16">
        <v>16.5</v>
      </c>
      <c r="E147" s="14">
        <v>19.4</v>
      </c>
      <c r="F147" s="16">
        <v>18.7</v>
      </c>
      <c r="G147" s="14">
        <v>18.8</v>
      </c>
      <c r="H147" s="16">
        <f t="shared" si="2"/>
        <v>96.90721649484537</v>
      </c>
    </row>
    <row r="148" spans="1:8" ht="15">
      <c r="A148" s="14" t="s">
        <v>72</v>
      </c>
      <c r="B148" s="14" t="s">
        <v>103</v>
      </c>
      <c r="C148" s="14">
        <v>14.8</v>
      </c>
      <c r="D148" s="16">
        <v>14.8</v>
      </c>
      <c r="E148" s="14">
        <v>16.7</v>
      </c>
      <c r="F148" s="16">
        <v>16.7</v>
      </c>
      <c r="G148" s="14">
        <v>16.2</v>
      </c>
      <c r="H148" s="16">
        <f t="shared" si="2"/>
        <v>97.0059880239521</v>
      </c>
    </row>
    <row r="149" spans="1:8" ht="15">
      <c r="A149" s="14" t="s">
        <v>90</v>
      </c>
      <c r="B149" s="14" t="s">
        <v>46</v>
      </c>
      <c r="C149" s="14">
        <v>41.3</v>
      </c>
      <c r="D149" s="16">
        <v>41.3</v>
      </c>
      <c r="E149" s="14">
        <v>46.5</v>
      </c>
      <c r="F149" s="16">
        <v>46.5</v>
      </c>
      <c r="G149" s="14">
        <v>54.5</v>
      </c>
      <c r="H149" s="16">
        <f t="shared" si="2"/>
        <v>117.20430107526883</v>
      </c>
    </row>
    <row r="150" spans="1:8" ht="15">
      <c r="A150" s="14" t="s">
        <v>92</v>
      </c>
      <c r="B150" s="14" t="s">
        <v>93</v>
      </c>
      <c r="C150" s="14">
        <v>26.3</v>
      </c>
      <c r="D150" s="16">
        <v>26.2</v>
      </c>
      <c r="E150" s="14">
        <v>29.6</v>
      </c>
      <c r="F150" s="16">
        <v>22</v>
      </c>
      <c r="G150" s="14">
        <v>55.1</v>
      </c>
      <c r="H150" s="16">
        <f t="shared" si="2"/>
        <v>186.14864864864865</v>
      </c>
    </row>
    <row r="151" spans="1:8" ht="15">
      <c r="A151" s="14" t="s">
        <v>94</v>
      </c>
      <c r="B151" s="14" t="s">
        <v>95</v>
      </c>
      <c r="C151" s="14">
        <v>4.6</v>
      </c>
      <c r="D151" s="16">
        <v>6.6</v>
      </c>
      <c r="E151" s="14">
        <f>2.1+3.1</f>
        <v>5.2</v>
      </c>
      <c r="F151" s="16">
        <v>9</v>
      </c>
      <c r="G151" s="14">
        <v>7.5</v>
      </c>
      <c r="H151" s="16">
        <f t="shared" si="2"/>
        <v>144.23076923076923</v>
      </c>
    </row>
    <row r="152" spans="1:8" ht="15">
      <c r="A152" s="14" t="s">
        <v>104</v>
      </c>
      <c r="B152" s="14" t="s">
        <v>91</v>
      </c>
      <c r="C152" s="14">
        <v>24.8</v>
      </c>
      <c r="D152" s="16">
        <v>23.5</v>
      </c>
      <c r="E152" s="14">
        <f>63.6+0.8-E153</f>
        <v>27.900000000000006</v>
      </c>
      <c r="F152" s="16">
        <v>27.9</v>
      </c>
      <c r="G152" s="14">
        <v>25</v>
      </c>
      <c r="H152" s="16">
        <f t="shared" si="2"/>
        <v>89.60573476702507</v>
      </c>
    </row>
    <row r="153" spans="1:8" ht="15">
      <c r="A153" s="14" t="s">
        <v>106</v>
      </c>
      <c r="B153" s="14" t="s">
        <v>105</v>
      </c>
      <c r="C153" s="14">
        <v>36.5</v>
      </c>
      <c r="D153" s="16">
        <v>36.5</v>
      </c>
      <c r="E153" s="14">
        <v>36.5</v>
      </c>
      <c r="F153" s="16">
        <v>36.5</v>
      </c>
      <c r="G153" s="14">
        <v>36.5</v>
      </c>
      <c r="H153" s="16">
        <f t="shared" si="2"/>
        <v>100</v>
      </c>
    </row>
    <row r="154" spans="1:8" ht="15">
      <c r="A154" s="14" t="s">
        <v>109</v>
      </c>
      <c r="B154" s="14" t="s">
        <v>108</v>
      </c>
      <c r="C154" s="14">
        <v>38</v>
      </c>
      <c r="D154" s="16">
        <v>42</v>
      </c>
      <c r="E154" s="14">
        <v>42.8</v>
      </c>
      <c r="F154" s="16">
        <v>48.4</v>
      </c>
      <c r="G154" s="14">
        <v>48.6</v>
      </c>
      <c r="H154" s="16">
        <f t="shared" si="2"/>
        <v>113.55140186915888</v>
      </c>
    </row>
    <row r="155" spans="1:8" ht="15">
      <c r="A155" s="14" t="s">
        <v>110</v>
      </c>
      <c r="B155" s="14" t="s">
        <v>107</v>
      </c>
      <c r="C155" s="14">
        <v>20.9</v>
      </c>
      <c r="D155" s="16">
        <v>20.9</v>
      </c>
      <c r="E155" s="14">
        <v>23.5</v>
      </c>
      <c r="F155" s="16">
        <v>23.5</v>
      </c>
      <c r="G155" s="14">
        <v>22.1</v>
      </c>
      <c r="H155" s="16">
        <f t="shared" si="2"/>
        <v>94.04255319148936</v>
      </c>
    </row>
    <row r="156" spans="1:8" ht="14.25">
      <c r="A156" s="13" t="s">
        <v>55</v>
      </c>
      <c r="B156" s="13" t="s">
        <v>56</v>
      </c>
      <c r="C156" s="13">
        <v>0</v>
      </c>
      <c r="D156" s="13">
        <f>D158+D159+D160+D161+D162+D163+D164+D165+D166+D167+D168+D169+D170+D171+D172+D173</f>
        <v>106</v>
      </c>
      <c r="E156" s="13">
        <f>E158+E159+E160+E161+E162+E163+E164+E165+E166+E167+E168+E169+E170+E171+E172+E173</f>
        <v>106</v>
      </c>
      <c r="F156" s="13">
        <f>F158+F159+F160+F161+F162+F163+F164+F165+F166+F167+F168+F169+F170+F171+F172+F173</f>
        <v>106</v>
      </c>
      <c r="G156" s="13">
        <f>G158+G159+G160+G161+G162+G163+G164+G165+G166+G167+G168+G169+G170+G171+G172+G173</f>
        <v>116.7</v>
      </c>
      <c r="H156" s="15">
        <v>109.8</v>
      </c>
    </row>
    <row r="157" spans="1:8" ht="15">
      <c r="A157" s="14"/>
      <c r="B157" s="14" t="s">
        <v>44</v>
      </c>
      <c r="C157" s="14"/>
      <c r="D157" s="14"/>
      <c r="E157" s="14"/>
      <c r="F157" s="14"/>
      <c r="G157" s="14"/>
      <c r="H157" s="14"/>
    </row>
    <row r="158" spans="1:8" ht="15">
      <c r="A158" s="14" t="s">
        <v>57</v>
      </c>
      <c r="B158" s="14" t="s">
        <v>73</v>
      </c>
      <c r="C158" s="14"/>
      <c r="D158" s="14"/>
      <c r="E158" s="14"/>
      <c r="F158" s="14"/>
      <c r="G158" s="14">
        <v>50</v>
      </c>
      <c r="H158" s="14"/>
    </row>
    <row r="159" spans="1:8" ht="15">
      <c r="A159" s="14" t="s">
        <v>58</v>
      </c>
      <c r="B159" s="14" t="s">
        <v>74</v>
      </c>
      <c r="C159" s="14"/>
      <c r="D159" s="14">
        <v>11.5</v>
      </c>
      <c r="E159" s="14">
        <v>15</v>
      </c>
      <c r="F159" s="14">
        <v>5.8</v>
      </c>
      <c r="G159" s="14">
        <v>9.9</v>
      </c>
      <c r="H159" s="14"/>
    </row>
    <row r="160" spans="1:8" ht="15">
      <c r="A160" s="14" t="s">
        <v>59</v>
      </c>
      <c r="B160" s="14" t="s">
        <v>174</v>
      </c>
      <c r="C160" s="14"/>
      <c r="D160" s="14"/>
      <c r="E160" s="14"/>
      <c r="F160" s="14"/>
      <c r="G160" s="14">
        <v>23.1</v>
      </c>
      <c r="H160" s="14"/>
    </row>
    <row r="161" spans="1:8" ht="15">
      <c r="A161" s="14" t="s">
        <v>60</v>
      </c>
      <c r="B161" s="14" t="s">
        <v>76</v>
      </c>
      <c r="C161" s="14"/>
      <c r="D161" s="14"/>
      <c r="E161" s="14"/>
      <c r="F161" s="14"/>
      <c r="G161" s="14"/>
      <c r="H161" s="14"/>
    </row>
    <row r="162" spans="1:8" ht="15">
      <c r="A162" s="14" t="s">
        <v>85</v>
      </c>
      <c r="B162" s="14" t="s">
        <v>77</v>
      </c>
      <c r="C162" s="14"/>
      <c r="D162" s="14"/>
      <c r="E162" s="14"/>
      <c r="F162" s="14"/>
      <c r="G162" s="14"/>
      <c r="H162" s="14"/>
    </row>
    <row r="163" spans="1:8" ht="15">
      <c r="A163" s="14" t="s">
        <v>87</v>
      </c>
      <c r="B163" s="14" t="s">
        <v>82</v>
      </c>
      <c r="C163" s="14"/>
      <c r="D163" s="14">
        <v>11.6</v>
      </c>
      <c r="E163" s="14"/>
      <c r="F163" s="14"/>
      <c r="G163" s="14">
        <v>33.7</v>
      </c>
      <c r="H163" s="14"/>
    </row>
    <row r="164" spans="1:8" ht="15">
      <c r="A164" s="14" t="s">
        <v>145</v>
      </c>
      <c r="B164" s="14" t="s">
        <v>89</v>
      </c>
      <c r="C164" s="14"/>
      <c r="D164" s="14"/>
      <c r="E164" s="14"/>
      <c r="F164" s="14"/>
      <c r="G164" s="14"/>
      <c r="H164" s="14"/>
    </row>
    <row r="165" spans="1:8" ht="15">
      <c r="A165" s="14" t="s">
        <v>146</v>
      </c>
      <c r="B165" s="14" t="s">
        <v>156</v>
      </c>
      <c r="C165" s="14"/>
      <c r="D165" s="14">
        <v>4.7</v>
      </c>
      <c r="E165" s="14">
        <v>70</v>
      </c>
      <c r="F165" s="14">
        <v>86.9</v>
      </c>
      <c r="G165" s="14"/>
      <c r="H165" s="14"/>
    </row>
    <row r="166" spans="1:8" ht="15">
      <c r="A166" s="14" t="s">
        <v>147</v>
      </c>
      <c r="B166" s="14" t="s">
        <v>139</v>
      </c>
      <c r="C166" s="14"/>
      <c r="D166" s="14"/>
      <c r="E166" s="14"/>
      <c r="F166" s="14">
        <f>12.7+6.4</f>
        <v>19.1</v>
      </c>
      <c r="G166" s="14"/>
      <c r="H166" s="14"/>
    </row>
    <row r="167" spans="1:8" ht="15">
      <c r="A167" s="14" t="s">
        <v>148</v>
      </c>
      <c r="B167" s="14" t="s">
        <v>140</v>
      </c>
      <c r="C167" s="14"/>
      <c r="D167" s="14"/>
      <c r="E167" s="14"/>
      <c r="F167" s="14"/>
      <c r="G167" s="14"/>
      <c r="H167" s="14"/>
    </row>
    <row r="168" spans="1:8" ht="15">
      <c r="A168" s="14" t="s">
        <v>180</v>
      </c>
      <c r="B168" s="14" t="s">
        <v>141</v>
      </c>
      <c r="C168" s="14"/>
      <c r="D168" s="14"/>
      <c r="E168" s="14"/>
      <c r="F168" s="14"/>
      <c r="G168" s="14"/>
      <c r="H168" s="14"/>
    </row>
    <row r="169" spans="1:8" ht="15">
      <c r="A169" s="14" t="s">
        <v>149</v>
      </c>
      <c r="B169" s="14" t="s">
        <v>142</v>
      </c>
      <c r="C169" s="14"/>
      <c r="D169" s="14"/>
      <c r="E169" s="14"/>
      <c r="F169" s="14"/>
      <c r="G169" s="14"/>
      <c r="H169" s="14"/>
    </row>
    <row r="170" spans="1:8" ht="15">
      <c r="A170" s="14" t="s">
        <v>150</v>
      </c>
      <c r="B170" s="14" t="s">
        <v>80</v>
      </c>
      <c r="C170" s="14"/>
      <c r="D170" s="14"/>
      <c r="E170" s="14">
        <v>21</v>
      </c>
      <c r="F170" s="14">
        <v>43.6</v>
      </c>
      <c r="G170" s="14"/>
      <c r="H170" s="14"/>
    </row>
    <row r="171" spans="1:8" ht="15">
      <c r="A171" s="14" t="s">
        <v>151</v>
      </c>
      <c r="B171" s="14" t="s">
        <v>144</v>
      </c>
      <c r="C171" s="14"/>
      <c r="D171" s="14"/>
      <c r="E171" s="14"/>
      <c r="F171" s="14"/>
      <c r="G171" s="14"/>
      <c r="H171" s="14"/>
    </row>
    <row r="172" spans="1:8" ht="15">
      <c r="A172" s="14" t="s">
        <v>152</v>
      </c>
      <c r="B172" s="14" t="s">
        <v>143</v>
      </c>
      <c r="C172" s="14"/>
      <c r="D172" s="14"/>
      <c r="E172" s="14"/>
      <c r="F172" s="14"/>
      <c r="G172" s="14"/>
      <c r="H172" s="14"/>
    </row>
    <row r="173" spans="1:8" ht="15">
      <c r="A173" s="14" t="s">
        <v>153</v>
      </c>
      <c r="B173" s="14" t="s">
        <v>179</v>
      </c>
      <c r="C173" s="14"/>
      <c r="D173" s="14">
        <v>78.2</v>
      </c>
      <c r="E173" s="14"/>
      <c r="F173" s="14">
        <v>-49.4</v>
      </c>
      <c r="G173" s="14"/>
      <c r="H173" s="14"/>
    </row>
    <row r="174" spans="1:8" ht="15">
      <c r="A174" s="13"/>
      <c r="B174" s="13" t="s">
        <v>61</v>
      </c>
      <c r="C174" s="13"/>
      <c r="D174" s="13"/>
      <c r="E174" s="13"/>
      <c r="F174" s="13"/>
      <c r="G174" s="13"/>
      <c r="H174" s="14"/>
    </row>
    <row r="175" spans="1:8" ht="15">
      <c r="A175" s="13"/>
      <c r="B175" s="13" t="s">
        <v>62</v>
      </c>
      <c r="C175" s="15">
        <f>C137+C156</f>
        <v>365.4</v>
      </c>
      <c r="D175" s="15">
        <f>D137+D156</f>
        <v>471.4</v>
      </c>
      <c r="E175" s="15">
        <f>E137+E156</f>
        <v>517.2</v>
      </c>
      <c r="F175" s="15">
        <f>F137+F156</f>
        <v>517.1999999999999</v>
      </c>
      <c r="G175" s="15">
        <f>G137+G156</f>
        <v>568.0000000000001</v>
      </c>
      <c r="H175" s="14"/>
    </row>
    <row r="176" spans="1:8" ht="15">
      <c r="A176" s="13" t="s">
        <v>64</v>
      </c>
      <c r="B176" s="14" t="s">
        <v>63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/>
    </row>
    <row r="177" spans="1:8" ht="14.25">
      <c r="A177" s="13"/>
      <c r="B177" s="13" t="s">
        <v>65</v>
      </c>
      <c r="C177" s="15">
        <f>C175+C176</f>
        <v>365.4</v>
      </c>
      <c r="D177" s="15">
        <f>D175+D176</f>
        <v>471.4</v>
      </c>
      <c r="E177" s="15">
        <f>E175+E176</f>
        <v>517.2</v>
      </c>
      <c r="F177" s="15">
        <f>F175+F176</f>
        <v>517.1999999999999</v>
      </c>
      <c r="G177" s="15">
        <f>G175+G176</f>
        <v>568.0000000000001</v>
      </c>
      <c r="H177" s="13"/>
    </row>
    <row r="178" spans="1:8" ht="14.25">
      <c r="A178" s="13"/>
      <c r="B178" s="13" t="s">
        <v>66</v>
      </c>
      <c r="C178" s="15">
        <f>C180+C182+C183</f>
        <v>365.4</v>
      </c>
      <c r="D178" s="15">
        <f>D180+D182+D183</f>
        <v>471.4</v>
      </c>
      <c r="E178" s="15">
        <f>E180+E182+E183</f>
        <v>517.2</v>
      </c>
      <c r="F178" s="15">
        <f>F180+F182+F183</f>
        <v>517.1999999999999</v>
      </c>
      <c r="G178" s="15">
        <f>G180+G182+G183</f>
        <v>568.0000000000001</v>
      </c>
      <c r="H178" s="13"/>
    </row>
    <row r="179" spans="1:8" ht="15">
      <c r="A179" s="14"/>
      <c r="B179" s="14" t="s">
        <v>44</v>
      </c>
      <c r="C179" s="14"/>
      <c r="D179" s="14"/>
      <c r="E179" s="14"/>
      <c r="F179" s="14"/>
      <c r="G179" s="14"/>
      <c r="H179" s="14"/>
    </row>
    <row r="180" spans="1:8" ht="15">
      <c r="A180" s="14"/>
      <c r="B180" s="14" t="s">
        <v>67</v>
      </c>
      <c r="C180" s="16">
        <f>C137+C156</f>
        <v>365.4</v>
      </c>
      <c r="D180" s="16">
        <f>D137+D156</f>
        <v>471.4</v>
      </c>
      <c r="E180" s="16">
        <f>E137+E156</f>
        <v>517.2</v>
      </c>
      <c r="F180" s="16">
        <f>F137+F156</f>
        <v>517.1999999999999</v>
      </c>
      <c r="G180" s="16">
        <f>G137+G156</f>
        <v>568.0000000000001</v>
      </c>
      <c r="H180" s="13"/>
    </row>
    <row r="181" spans="1:8" ht="15">
      <c r="A181" s="17"/>
      <c r="B181" s="18" t="s">
        <v>16</v>
      </c>
      <c r="C181" s="13"/>
      <c r="D181" s="13"/>
      <c r="E181" s="13"/>
      <c r="F181" s="13"/>
      <c r="G181" s="13"/>
      <c r="H181" s="13"/>
    </row>
    <row r="182" spans="1:8" ht="15">
      <c r="A182" s="17"/>
      <c r="B182" s="18" t="s">
        <v>68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/>
    </row>
    <row r="183" spans="1:8" ht="15">
      <c r="A183" s="17"/>
      <c r="B183" s="18" t="s">
        <v>69</v>
      </c>
      <c r="C183" s="13"/>
      <c r="D183" s="13"/>
      <c r="E183" s="13"/>
      <c r="F183" s="13"/>
      <c r="G183" s="13"/>
      <c r="H183" s="13"/>
    </row>
    <row r="184" spans="1:8" ht="15">
      <c r="A184" s="17"/>
      <c r="B184" s="18" t="s">
        <v>70</v>
      </c>
      <c r="C184" s="13"/>
      <c r="D184" s="13"/>
      <c r="E184" s="13"/>
      <c r="F184" s="13"/>
      <c r="G184" s="13"/>
      <c r="H184" s="13"/>
    </row>
    <row r="185" spans="1:8" ht="12.75">
      <c r="A185" s="19"/>
      <c r="B185" s="19" t="s">
        <v>71</v>
      </c>
      <c r="C185" s="27">
        <f>C178-C177</f>
        <v>0</v>
      </c>
      <c r="D185" s="27">
        <f>D178-D177</f>
        <v>0</v>
      </c>
      <c r="E185" s="27">
        <f>E178-E177</f>
        <v>0</v>
      </c>
      <c r="F185" s="27">
        <f>F178-F177</f>
        <v>0</v>
      </c>
      <c r="G185" s="27">
        <f>G178-G177</f>
        <v>0</v>
      </c>
      <c r="H185" s="19"/>
    </row>
    <row r="187" spans="2:5" s="1" customFormat="1" ht="15">
      <c r="B187" s="1" t="s">
        <v>134</v>
      </c>
      <c r="E187" s="1" t="s">
        <v>135</v>
      </c>
    </row>
    <row r="188" s="1" customFormat="1" ht="15"/>
    <row r="189" spans="2:5" s="1" customFormat="1" ht="15">
      <c r="B189" s="1" t="s">
        <v>170</v>
      </c>
      <c r="E189" s="1" t="s">
        <v>171</v>
      </c>
    </row>
    <row r="190" s="1" customFormat="1" ht="15"/>
    <row r="191" spans="2:5" s="1" customFormat="1" ht="15">
      <c r="B191" s="1" t="s">
        <v>136</v>
      </c>
      <c r="E191" s="1" t="s">
        <v>137</v>
      </c>
    </row>
    <row r="192" s="1" customFormat="1" ht="15"/>
    <row r="193" spans="1:8" ht="14.25">
      <c r="A193" s="139" t="s">
        <v>26</v>
      </c>
      <c r="B193" s="139"/>
      <c r="C193" s="139"/>
      <c r="D193" s="139"/>
      <c r="E193" s="139"/>
      <c r="F193" s="139"/>
      <c r="G193" s="139"/>
      <c r="H193" s="139"/>
    </row>
    <row r="194" spans="1:8" ht="14.25">
      <c r="A194" s="139" t="s">
        <v>83</v>
      </c>
      <c r="B194" s="139"/>
      <c r="C194" s="139"/>
      <c r="D194" s="139"/>
      <c r="E194" s="139"/>
      <c r="F194" s="139"/>
      <c r="G194" s="139"/>
      <c r="H194" s="139"/>
    </row>
    <row r="195" spans="1:8" ht="15">
      <c r="A195" s="1"/>
      <c r="B195" s="1"/>
      <c r="C195" s="1"/>
      <c r="D195" s="1"/>
      <c r="E195" s="1"/>
      <c r="F195" s="1"/>
      <c r="G195" s="1"/>
      <c r="H195" s="12" t="s">
        <v>79</v>
      </c>
    </row>
    <row r="196" spans="1:8" ht="15">
      <c r="A196" s="2" t="s">
        <v>1</v>
      </c>
      <c r="B196" s="2" t="s">
        <v>27</v>
      </c>
      <c r="C196" s="2" t="s">
        <v>28</v>
      </c>
      <c r="D196" s="2" t="s">
        <v>31</v>
      </c>
      <c r="E196" s="2" t="s">
        <v>28</v>
      </c>
      <c r="F196" s="2" t="s">
        <v>34</v>
      </c>
      <c r="G196" s="2" t="s">
        <v>36</v>
      </c>
      <c r="H196" s="2" t="s">
        <v>40</v>
      </c>
    </row>
    <row r="197" spans="1:8" ht="15">
      <c r="A197" s="5"/>
      <c r="B197" s="5"/>
      <c r="C197" s="3" t="s">
        <v>29</v>
      </c>
      <c r="D197" s="3" t="s">
        <v>32</v>
      </c>
      <c r="E197" s="3" t="s">
        <v>29</v>
      </c>
      <c r="F197" s="3" t="s">
        <v>32</v>
      </c>
      <c r="G197" s="3" t="s">
        <v>37</v>
      </c>
      <c r="H197" s="3" t="s">
        <v>39</v>
      </c>
    </row>
    <row r="198" spans="1:8" ht="15">
      <c r="A198" s="5"/>
      <c r="B198" s="5"/>
      <c r="C198" s="3" t="s">
        <v>30</v>
      </c>
      <c r="D198" s="5" t="s">
        <v>33</v>
      </c>
      <c r="E198" s="3" t="s">
        <v>20</v>
      </c>
      <c r="F198" s="3" t="s">
        <v>35</v>
      </c>
      <c r="G198" s="3" t="s">
        <v>38</v>
      </c>
      <c r="H198" s="5"/>
    </row>
    <row r="199" spans="1:8" ht="15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13"/>
      <c r="B200" s="13" t="s">
        <v>42</v>
      </c>
      <c r="C200" s="13"/>
      <c r="D200" s="13"/>
      <c r="E200" s="13"/>
      <c r="F200" s="13"/>
      <c r="G200" s="13"/>
      <c r="H200" s="14"/>
    </row>
    <row r="201" spans="1:8" ht="14.25">
      <c r="A201" s="13" t="s">
        <v>47</v>
      </c>
      <c r="B201" s="13" t="s">
        <v>43</v>
      </c>
      <c r="C201" s="15">
        <f>C203+C204+C207+C208+C209+C210+C211+C212+C213+C214+C215+C216+C217+C218+C219</f>
        <v>366.4</v>
      </c>
      <c r="D201" s="15">
        <f>D203+D204+D207+D208+D209+D210+D211+D212+D213+D214+D215+D216+D217+D218+D219</f>
        <v>366.4</v>
      </c>
      <c r="E201" s="15">
        <f>E203+E204+E207+E208+E209+E210+E211+E212+E213+E214+E215+E216+E217+E218+E219</f>
        <v>412.09999999999997</v>
      </c>
      <c r="F201" s="15">
        <f>F203+F204+F207+F208+F209+F210+F211+F212+F213+F214+F215+F216+F217+F218+F219</f>
        <v>412.09999999999997</v>
      </c>
      <c r="G201" s="15">
        <f>G203+G204+G207+G208+G209+G210+G211+G212+G213+G214+G215+G216+G217+G218+G219</f>
        <v>452.50000000000006</v>
      </c>
      <c r="H201" s="15">
        <f>G201/E201*100</f>
        <v>109.8034457655909</v>
      </c>
    </row>
    <row r="202" spans="1:8" ht="15">
      <c r="A202" s="13"/>
      <c r="B202" s="14" t="s">
        <v>44</v>
      </c>
      <c r="C202" s="15"/>
      <c r="D202" s="15"/>
      <c r="E202" s="15"/>
      <c r="F202" s="15"/>
      <c r="G202" s="13"/>
      <c r="H202" s="14"/>
    </row>
    <row r="203" spans="1:8" ht="15">
      <c r="A203" s="14" t="s">
        <v>48</v>
      </c>
      <c r="B203" s="14" t="s">
        <v>111</v>
      </c>
      <c r="C203" s="14">
        <v>34</v>
      </c>
      <c r="D203" s="16">
        <v>33</v>
      </c>
      <c r="E203" s="14">
        <f>9.4+5.8+6.1+9.2+7.8</f>
        <v>38.3</v>
      </c>
      <c r="F203" s="14">
        <v>35</v>
      </c>
      <c r="G203" s="14">
        <v>34.9</v>
      </c>
      <c r="H203" s="16">
        <f aca="true" t="shared" si="3" ref="H203:H219">G203/E203*100</f>
        <v>91.12271540469973</v>
      </c>
    </row>
    <row r="204" spans="1:8" ht="15">
      <c r="A204" s="14" t="s">
        <v>49</v>
      </c>
      <c r="B204" s="14" t="s">
        <v>96</v>
      </c>
      <c r="C204" s="16">
        <f>C205+C206</f>
        <v>60.5</v>
      </c>
      <c r="D204" s="16">
        <f>D205+D206</f>
        <v>58.900000000000006</v>
      </c>
      <c r="E204" s="14">
        <f>E205+E206</f>
        <v>72.6</v>
      </c>
      <c r="F204" s="14">
        <f>F205+F206</f>
        <v>72.6</v>
      </c>
      <c r="G204" s="14">
        <f>G205+G206</f>
        <v>83</v>
      </c>
      <c r="H204" s="16">
        <f t="shared" si="3"/>
        <v>114.32506887052342</v>
      </c>
    </row>
    <row r="205" spans="1:8" ht="15">
      <c r="A205" s="14"/>
      <c r="B205" s="14" t="s">
        <v>97</v>
      </c>
      <c r="C205" s="14">
        <v>46.3</v>
      </c>
      <c r="D205" s="16">
        <v>45.2</v>
      </c>
      <c r="E205" s="14">
        <v>56.6</v>
      </c>
      <c r="F205" s="16">
        <v>56.6</v>
      </c>
      <c r="G205" s="14">
        <v>64.4</v>
      </c>
      <c r="H205" s="16">
        <f t="shared" si="3"/>
        <v>113.7809187279152</v>
      </c>
    </row>
    <row r="206" spans="1:8" ht="15">
      <c r="A206" s="14"/>
      <c r="B206" s="14" t="s">
        <v>98</v>
      </c>
      <c r="C206" s="14">
        <v>14.2</v>
      </c>
      <c r="D206" s="16">
        <v>13.7</v>
      </c>
      <c r="E206" s="14">
        <v>16</v>
      </c>
      <c r="F206" s="14">
        <v>16</v>
      </c>
      <c r="G206" s="14">
        <v>18.6</v>
      </c>
      <c r="H206" s="16">
        <f t="shared" si="3"/>
        <v>116.25000000000001</v>
      </c>
    </row>
    <row r="207" spans="1:8" ht="15">
      <c r="A207" s="14" t="s">
        <v>50</v>
      </c>
      <c r="B207" s="14" t="s">
        <v>99</v>
      </c>
      <c r="C207" s="14">
        <v>7.2</v>
      </c>
      <c r="D207" s="16">
        <v>7.2</v>
      </c>
      <c r="E207" s="14">
        <v>8.1</v>
      </c>
      <c r="F207" s="16">
        <v>8.1</v>
      </c>
      <c r="G207" s="14">
        <v>9.2</v>
      </c>
      <c r="H207" s="16">
        <f t="shared" si="3"/>
        <v>113.58024691358024</v>
      </c>
    </row>
    <row r="208" spans="1:8" ht="15">
      <c r="A208" s="14" t="s">
        <v>51</v>
      </c>
      <c r="B208" s="14" t="s">
        <v>100</v>
      </c>
      <c r="C208" s="14">
        <v>9.8</v>
      </c>
      <c r="D208" s="16">
        <v>9.8</v>
      </c>
      <c r="E208" s="14">
        <v>11</v>
      </c>
      <c r="F208" s="14">
        <v>11</v>
      </c>
      <c r="G208" s="14">
        <v>10.7</v>
      </c>
      <c r="H208" s="16">
        <f t="shared" si="3"/>
        <v>97.27272727272727</v>
      </c>
    </row>
    <row r="209" spans="1:8" ht="15">
      <c r="A209" s="14" t="s">
        <v>52</v>
      </c>
      <c r="B209" s="14" t="s">
        <v>101</v>
      </c>
      <c r="C209" s="14">
        <v>6.8</v>
      </c>
      <c r="D209" s="16">
        <v>6.8</v>
      </c>
      <c r="E209" s="14">
        <v>7.7</v>
      </c>
      <c r="F209" s="16">
        <v>7.7</v>
      </c>
      <c r="G209" s="14">
        <v>7.4</v>
      </c>
      <c r="H209" s="16">
        <f t="shared" si="3"/>
        <v>96.1038961038961</v>
      </c>
    </row>
    <row r="210" spans="1:8" ht="15">
      <c r="A210" s="14" t="s">
        <v>53</v>
      </c>
      <c r="B210" s="14" t="s">
        <v>45</v>
      </c>
      <c r="C210" s="14">
        <v>31.6</v>
      </c>
      <c r="D210" s="16">
        <v>30.2</v>
      </c>
      <c r="E210" s="14">
        <v>35.5</v>
      </c>
      <c r="F210" s="16">
        <v>32</v>
      </c>
      <c r="G210" s="14">
        <v>34.3</v>
      </c>
      <c r="H210" s="16">
        <f t="shared" si="3"/>
        <v>96.61971830985915</v>
      </c>
    </row>
    <row r="211" spans="1:8" ht="15">
      <c r="A211" s="14" t="s">
        <v>54</v>
      </c>
      <c r="B211" s="14" t="s">
        <v>102</v>
      </c>
      <c r="C211" s="14">
        <v>15.5</v>
      </c>
      <c r="D211" s="16">
        <v>14.5</v>
      </c>
      <c r="E211" s="14">
        <v>17.4</v>
      </c>
      <c r="F211" s="16">
        <v>16.5</v>
      </c>
      <c r="G211" s="14">
        <v>16.9</v>
      </c>
      <c r="H211" s="16">
        <f t="shared" si="3"/>
        <v>97.12643678160919</v>
      </c>
    </row>
    <row r="212" spans="1:8" ht="15">
      <c r="A212" s="14" t="s">
        <v>72</v>
      </c>
      <c r="B212" s="14" t="s">
        <v>103</v>
      </c>
      <c r="C212" s="14">
        <v>15.8</v>
      </c>
      <c r="D212" s="16">
        <v>15.8</v>
      </c>
      <c r="E212" s="14">
        <v>17.8</v>
      </c>
      <c r="F212" s="16">
        <v>17.8</v>
      </c>
      <c r="G212" s="14">
        <v>17.3</v>
      </c>
      <c r="H212" s="16">
        <f t="shared" si="3"/>
        <v>97.19101123595506</v>
      </c>
    </row>
    <row r="213" spans="1:8" ht="15">
      <c r="A213" s="14" t="s">
        <v>90</v>
      </c>
      <c r="B213" s="14" t="s">
        <v>46</v>
      </c>
      <c r="C213" s="14">
        <v>44.8</v>
      </c>
      <c r="D213" s="16">
        <v>44.8</v>
      </c>
      <c r="E213" s="14">
        <v>50.4</v>
      </c>
      <c r="F213" s="16">
        <v>50.4</v>
      </c>
      <c r="G213" s="14">
        <v>54.5</v>
      </c>
      <c r="H213" s="16">
        <f t="shared" si="3"/>
        <v>108.13492063492063</v>
      </c>
    </row>
    <row r="214" spans="1:8" ht="15">
      <c r="A214" s="14" t="s">
        <v>92</v>
      </c>
      <c r="B214" s="14" t="s">
        <v>93</v>
      </c>
      <c r="C214" s="14">
        <v>18</v>
      </c>
      <c r="D214" s="16">
        <v>17.3</v>
      </c>
      <c r="E214" s="14">
        <v>20.2</v>
      </c>
      <c r="F214" s="16">
        <v>18.3</v>
      </c>
      <c r="G214" s="14">
        <v>40.3</v>
      </c>
      <c r="H214" s="16">
        <f t="shared" si="3"/>
        <v>199.5049504950495</v>
      </c>
    </row>
    <row r="215" spans="1:8" ht="15">
      <c r="A215" s="14" t="s">
        <v>94</v>
      </c>
      <c r="B215" s="14" t="s">
        <v>95</v>
      </c>
      <c r="C215" s="14">
        <v>4</v>
      </c>
      <c r="D215" s="16">
        <v>6</v>
      </c>
      <c r="E215" s="14">
        <f>1.4+3.1</f>
        <v>4.5</v>
      </c>
      <c r="F215" s="16">
        <v>8.5</v>
      </c>
      <c r="G215" s="14">
        <v>8</v>
      </c>
      <c r="H215" s="16">
        <f t="shared" si="3"/>
        <v>177.77777777777777</v>
      </c>
    </row>
    <row r="216" spans="1:8" ht="15">
      <c r="A216" s="14" t="s">
        <v>104</v>
      </c>
      <c r="B216" s="14" t="s">
        <v>91</v>
      </c>
      <c r="C216" s="14">
        <v>23.2</v>
      </c>
      <c r="D216" s="16">
        <v>23</v>
      </c>
      <c r="E216" s="14">
        <f>61.7+0.8-E217</f>
        <v>26.1</v>
      </c>
      <c r="F216" s="16">
        <v>26.1</v>
      </c>
      <c r="G216" s="14">
        <v>29</v>
      </c>
      <c r="H216" s="16">
        <f t="shared" si="3"/>
        <v>111.11111111111111</v>
      </c>
    </row>
    <row r="217" spans="1:8" ht="15">
      <c r="A217" s="14" t="s">
        <v>106</v>
      </c>
      <c r="B217" s="14" t="s">
        <v>105</v>
      </c>
      <c r="C217" s="14">
        <v>36.4</v>
      </c>
      <c r="D217" s="16">
        <v>36.4</v>
      </c>
      <c r="E217" s="14">
        <v>36.4</v>
      </c>
      <c r="F217" s="16">
        <v>36.4</v>
      </c>
      <c r="G217" s="14">
        <v>36.4</v>
      </c>
      <c r="H217" s="16">
        <f t="shared" si="3"/>
        <v>100</v>
      </c>
    </row>
    <row r="218" spans="1:8" ht="15">
      <c r="A218" s="14" t="s">
        <v>109</v>
      </c>
      <c r="B218" s="14" t="s">
        <v>108</v>
      </c>
      <c r="C218" s="14">
        <v>38</v>
      </c>
      <c r="D218" s="16">
        <v>41.9</v>
      </c>
      <c r="E218" s="14">
        <v>42.7</v>
      </c>
      <c r="F218" s="16">
        <v>48.3</v>
      </c>
      <c r="G218" s="14">
        <v>48.5</v>
      </c>
      <c r="H218" s="16">
        <f t="shared" si="3"/>
        <v>113.5831381733021</v>
      </c>
    </row>
    <row r="219" spans="1:8" ht="15">
      <c r="A219" s="14" t="s">
        <v>110</v>
      </c>
      <c r="B219" s="14" t="s">
        <v>107</v>
      </c>
      <c r="C219" s="14">
        <v>20.8</v>
      </c>
      <c r="D219" s="16">
        <v>20.8</v>
      </c>
      <c r="E219" s="14">
        <v>23.4</v>
      </c>
      <c r="F219" s="16">
        <v>23.4</v>
      </c>
      <c r="G219" s="14">
        <v>22.1</v>
      </c>
      <c r="H219" s="16">
        <f t="shared" si="3"/>
        <v>94.44444444444446</v>
      </c>
    </row>
    <row r="220" spans="1:8" ht="14.25">
      <c r="A220" s="13" t="s">
        <v>55</v>
      </c>
      <c r="B220" s="13" t="s">
        <v>56</v>
      </c>
      <c r="C220" s="13">
        <v>0</v>
      </c>
      <c r="D220" s="13">
        <f>D222+D223+D224+D225+D226+D227+D228+D229+D230+D231+D232+D233+D234+D235+D236+D237</f>
        <v>105.9</v>
      </c>
      <c r="E220" s="13">
        <f>E222+E223+E224+E225+E226+E227+E228+E229+E230+E231+E232+E233+E234+E235+E236+E237</f>
        <v>105.9</v>
      </c>
      <c r="F220" s="13">
        <f>F222+F223+F224+F225+F226+F227+F228+F229+F230+F231+F232+F233+F234+F235+F236+F237</f>
        <v>105.9</v>
      </c>
      <c r="G220" s="13">
        <f>G222+G223+G224+G225+G226+G227+G228+G229+G230+G231+G232+G233+G234+G235+G236+G237</f>
        <v>116.5</v>
      </c>
      <c r="H220" s="15">
        <v>109.8</v>
      </c>
    </row>
    <row r="221" spans="1:8" ht="15">
      <c r="A221" s="14"/>
      <c r="B221" s="14" t="s">
        <v>44</v>
      </c>
      <c r="C221" s="14"/>
      <c r="D221" s="14"/>
      <c r="E221" s="14"/>
      <c r="F221" s="14"/>
      <c r="G221" s="14"/>
      <c r="H221" s="14"/>
    </row>
    <row r="222" spans="1:8" ht="15">
      <c r="A222" s="14" t="s">
        <v>57</v>
      </c>
      <c r="B222" s="14" t="s">
        <v>73</v>
      </c>
      <c r="C222" s="14"/>
      <c r="D222" s="14"/>
      <c r="E222" s="14"/>
      <c r="F222" s="14"/>
      <c r="G222" s="14">
        <v>50</v>
      </c>
      <c r="H222" s="14"/>
    </row>
    <row r="223" spans="1:8" ht="15">
      <c r="A223" s="14" t="s">
        <v>58</v>
      </c>
      <c r="B223" s="14" t="s">
        <v>74</v>
      </c>
      <c r="C223" s="14"/>
      <c r="D223" s="14">
        <v>18.7</v>
      </c>
      <c r="E223" s="14"/>
      <c r="F223" s="14">
        <v>9.4</v>
      </c>
      <c r="G223" s="14">
        <v>9.9</v>
      </c>
      <c r="H223" s="14"/>
    </row>
    <row r="224" spans="1:8" ht="15">
      <c r="A224" s="14" t="s">
        <v>59</v>
      </c>
      <c r="B224" s="14" t="s">
        <v>174</v>
      </c>
      <c r="C224" s="14"/>
      <c r="D224" s="14"/>
      <c r="E224" s="14"/>
      <c r="F224" s="14"/>
      <c r="G224" s="14">
        <v>23.1</v>
      </c>
      <c r="H224" s="14"/>
    </row>
    <row r="225" spans="1:8" ht="15">
      <c r="A225" s="14" t="s">
        <v>60</v>
      </c>
      <c r="B225" s="14" t="s">
        <v>76</v>
      </c>
      <c r="C225" s="14"/>
      <c r="D225" s="14"/>
      <c r="E225" s="14"/>
      <c r="F225" s="14"/>
      <c r="G225" s="14"/>
      <c r="H225" s="14"/>
    </row>
    <row r="226" spans="1:8" ht="15">
      <c r="A226" s="14" t="s">
        <v>85</v>
      </c>
      <c r="B226" s="14" t="s">
        <v>77</v>
      </c>
      <c r="C226" s="14"/>
      <c r="D226" s="14">
        <v>4.7</v>
      </c>
      <c r="E226" s="14"/>
      <c r="F226" s="14"/>
      <c r="G226" s="14"/>
      <c r="H226" s="14"/>
    </row>
    <row r="227" spans="1:8" ht="15">
      <c r="A227" s="14" t="s">
        <v>87</v>
      </c>
      <c r="B227" s="14" t="s">
        <v>82</v>
      </c>
      <c r="C227" s="14"/>
      <c r="D227" s="14"/>
      <c r="E227" s="14"/>
      <c r="F227" s="14"/>
      <c r="G227" s="14">
        <v>33.5</v>
      </c>
      <c r="H227" s="14"/>
    </row>
    <row r="228" spans="1:8" ht="15">
      <c r="A228" s="14" t="s">
        <v>145</v>
      </c>
      <c r="B228" s="14" t="s">
        <v>89</v>
      </c>
      <c r="C228" s="14"/>
      <c r="D228" s="14"/>
      <c r="E228" s="14"/>
      <c r="F228" s="14"/>
      <c r="G228" s="14"/>
      <c r="H228" s="14"/>
    </row>
    <row r="229" spans="1:8" ht="15">
      <c r="A229" s="14" t="s">
        <v>146</v>
      </c>
      <c r="B229" s="14" t="s">
        <v>157</v>
      </c>
      <c r="C229" s="14"/>
      <c r="D229" s="14">
        <f>50.7+4.7+1.2</f>
        <v>56.60000000000001</v>
      </c>
      <c r="E229" s="14">
        <v>55</v>
      </c>
      <c r="F229" s="14">
        <v>86.9</v>
      </c>
      <c r="G229" s="14"/>
      <c r="H229" s="14"/>
    </row>
    <row r="230" spans="1:8" ht="15">
      <c r="A230" s="14" t="s">
        <v>147</v>
      </c>
      <c r="B230" s="14" t="s">
        <v>139</v>
      </c>
      <c r="C230" s="14"/>
      <c r="D230" s="14"/>
      <c r="E230" s="14"/>
      <c r="F230" s="14">
        <f>15.6+6.4</f>
        <v>22</v>
      </c>
      <c r="G230" s="14"/>
      <c r="H230" s="14"/>
    </row>
    <row r="231" spans="1:8" ht="15">
      <c r="A231" s="14" t="s">
        <v>148</v>
      </c>
      <c r="B231" s="14" t="s">
        <v>140</v>
      </c>
      <c r="C231" s="14"/>
      <c r="D231" s="14"/>
      <c r="E231" s="14"/>
      <c r="F231" s="14"/>
      <c r="G231" s="14"/>
      <c r="H231" s="14"/>
    </row>
    <row r="232" spans="1:8" ht="15">
      <c r="A232" s="14" t="s">
        <v>180</v>
      </c>
      <c r="B232" s="14" t="s">
        <v>141</v>
      </c>
      <c r="C232" s="14"/>
      <c r="D232" s="14"/>
      <c r="E232" s="14"/>
      <c r="F232" s="14"/>
      <c r="G232" s="14"/>
      <c r="H232" s="14"/>
    </row>
    <row r="233" spans="1:8" ht="15">
      <c r="A233" s="14" t="s">
        <v>149</v>
      </c>
      <c r="B233" s="14" t="s">
        <v>142</v>
      </c>
      <c r="C233" s="14"/>
      <c r="D233" s="14"/>
      <c r="E233" s="14"/>
      <c r="F233" s="14"/>
      <c r="G233" s="14"/>
      <c r="H233" s="14"/>
    </row>
    <row r="234" spans="1:8" ht="15">
      <c r="A234" s="14" t="s">
        <v>150</v>
      </c>
      <c r="B234" s="14" t="s">
        <v>80</v>
      </c>
      <c r="C234" s="14"/>
      <c r="D234" s="14">
        <v>57.5</v>
      </c>
      <c r="E234" s="14">
        <v>50.9</v>
      </c>
      <c r="F234" s="14">
        <v>13.6</v>
      </c>
      <c r="G234" s="14"/>
      <c r="H234" s="14"/>
    </row>
    <row r="235" spans="1:8" ht="15">
      <c r="A235" s="14" t="s">
        <v>151</v>
      </c>
      <c r="B235" s="14" t="s">
        <v>144</v>
      </c>
      <c r="C235" s="14"/>
      <c r="D235" s="14"/>
      <c r="E235" s="14"/>
      <c r="F235" s="14"/>
      <c r="G235" s="14"/>
      <c r="H235" s="14"/>
    </row>
    <row r="236" spans="1:8" ht="15">
      <c r="A236" s="14" t="s">
        <v>152</v>
      </c>
      <c r="B236" s="14" t="s">
        <v>143</v>
      </c>
      <c r="C236" s="14"/>
      <c r="D236" s="14"/>
      <c r="E236" s="14"/>
      <c r="F236" s="14"/>
      <c r="G236" s="14"/>
      <c r="H236" s="14"/>
    </row>
    <row r="237" spans="1:8" ht="15">
      <c r="A237" s="14" t="s">
        <v>153</v>
      </c>
      <c r="B237" s="14" t="s">
        <v>179</v>
      </c>
      <c r="C237" s="14"/>
      <c r="D237" s="14">
        <v>-31.6</v>
      </c>
      <c r="E237" s="14"/>
      <c r="F237" s="14">
        <v>-26</v>
      </c>
      <c r="G237" s="14"/>
      <c r="H237" s="14"/>
    </row>
    <row r="238" spans="1:8" ht="15">
      <c r="A238" s="13"/>
      <c r="B238" s="13" t="s">
        <v>61</v>
      </c>
      <c r="C238" s="13"/>
      <c r="D238" s="13"/>
      <c r="E238" s="13"/>
      <c r="F238" s="13"/>
      <c r="G238" s="13"/>
      <c r="H238" s="14"/>
    </row>
    <row r="239" spans="1:8" ht="15">
      <c r="A239" s="13"/>
      <c r="B239" s="13" t="s">
        <v>62</v>
      </c>
      <c r="C239" s="15">
        <f>C201+C220</f>
        <v>366.4</v>
      </c>
      <c r="D239" s="15">
        <f>D201+D220</f>
        <v>472.29999999999995</v>
      </c>
      <c r="E239" s="15">
        <f>E201+E220</f>
        <v>518</v>
      </c>
      <c r="F239" s="15">
        <f>F201+F220</f>
        <v>518</v>
      </c>
      <c r="G239" s="15">
        <f>G201+G220</f>
        <v>569</v>
      </c>
      <c r="H239" s="14"/>
    </row>
    <row r="240" spans="1:8" ht="15">
      <c r="A240" s="13" t="s">
        <v>64</v>
      </c>
      <c r="B240" s="14" t="s">
        <v>63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/>
    </row>
    <row r="241" spans="1:8" ht="14.25">
      <c r="A241" s="13"/>
      <c r="B241" s="13" t="s">
        <v>65</v>
      </c>
      <c r="C241" s="15">
        <f>C239+C240</f>
        <v>366.4</v>
      </c>
      <c r="D241" s="15">
        <f>D239+D240</f>
        <v>472.29999999999995</v>
      </c>
      <c r="E241" s="15">
        <f>E239+E240</f>
        <v>518</v>
      </c>
      <c r="F241" s="15">
        <f>F239+F240</f>
        <v>518</v>
      </c>
      <c r="G241" s="15">
        <f>G239+G240</f>
        <v>569</v>
      </c>
      <c r="H241" s="13"/>
    </row>
    <row r="242" spans="1:8" ht="14.25">
      <c r="A242" s="13"/>
      <c r="B242" s="13" t="s">
        <v>66</v>
      </c>
      <c r="C242" s="15">
        <f>C244+C246+C247</f>
        <v>366.4</v>
      </c>
      <c r="D242" s="15">
        <f>D244+D246+D247</f>
        <v>472.29999999999995</v>
      </c>
      <c r="E242" s="15">
        <f>E244+E246+E247</f>
        <v>518</v>
      </c>
      <c r="F242" s="15">
        <f>F244+F246+F247</f>
        <v>518</v>
      </c>
      <c r="G242" s="15">
        <f>G244+G246+G247</f>
        <v>569</v>
      </c>
      <c r="H242" s="13"/>
    </row>
    <row r="243" spans="1:8" ht="15">
      <c r="A243" s="14"/>
      <c r="B243" s="14" t="s">
        <v>44</v>
      </c>
      <c r="C243" s="14"/>
      <c r="D243" s="14"/>
      <c r="E243" s="14"/>
      <c r="F243" s="14"/>
      <c r="G243" s="14"/>
      <c r="H243" s="14"/>
    </row>
    <row r="244" spans="1:8" ht="15">
      <c r="A244" s="14"/>
      <c r="B244" s="14" t="s">
        <v>67</v>
      </c>
      <c r="C244" s="16">
        <f>C201+C220</f>
        <v>366.4</v>
      </c>
      <c r="D244" s="16">
        <f>D201+D220</f>
        <v>472.29999999999995</v>
      </c>
      <c r="E244" s="16">
        <f>E201+E220</f>
        <v>518</v>
      </c>
      <c r="F244" s="16">
        <f>F201+F220</f>
        <v>518</v>
      </c>
      <c r="G244" s="16">
        <f>G201+G220</f>
        <v>569</v>
      </c>
      <c r="H244" s="13"/>
    </row>
    <row r="245" spans="1:8" ht="15">
      <c r="A245" s="17"/>
      <c r="B245" s="18" t="s">
        <v>16</v>
      </c>
      <c r="C245" s="13"/>
      <c r="D245" s="13"/>
      <c r="E245" s="13"/>
      <c r="F245" s="13"/>
      <c r="G245" s="13"/>
      <c r="H245" s="13"/>
    </row>
    <row r="246" spans="1:8" ht="15">
      <c r="A246" s="17"/>
      <c r="B246" s="18" t="s">
        <v>68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/>
    </row>
    <row r="247" spans="1:8" ht="15">
      <c r="A247" s="17"/>
      <c r="B247" s="18" t="s">
        <v>69</v>
      </c>
      <c r="C247" s="13"/>
      <c r="D247" s="13"/>
      <c r="E247" s="13"/>
      <c r="F247" s="13"/>
      <c r="G247" s="13"/>
      <c r="H247" s="13"/>
    </row>
    <row r="248" spans="1:8" ht="15">
      <c r="A248" s="17"/>
      <c r="B248" s="18" t="s">
        <v>70</v>
      </c>
      <c r="C248" s="13"/>
      <c r="D248" s="13"/>
      <c r="E248" s="13"/>
      <c r="F248" s="13"/>
      <c r="G248" s="13"/>
      <c r="H248" s="13"/>
    </row>
    <row r="249" spans="1:8" ht="12.75">
      <c r="A249" s="19"/>
      <c r="B249" s="19" t="s">
        <v>71</v>
      </c>
      <c r="C249" s="27">
        <f>C242-C241</f>
        <v>0</v>
      </c>
      <c r="D249" s="27">
        <f>D242-D241</f>
        <v>0</v>
      </c>
      <c r="E249" s="27">
        <f>E242-E241</f>
        <v>0</v>
      </c>
      <c r="F249" s="27">
        <f>F242-F241</f>
        <v>0</v>
      </c>
      <c r="G249" s="27">
        <f>G242-G241</f>
        <v>0</v>
      </c>
      <c r="H249" s="19"/>
    </row>
    <row r="250" ht="14.25" customHeight="1"/>
    <row r="251" spans="2:5" s="1" customFormat="1" ht="15">
      <c r="B251" s="1" t="s">
        <v>134</v>
      </c>
      <c r="E251" s="1" t="s">
        <v>135</v>
      </c>
    </row>
    <row r="252" s="1" customFormat="1" ht="15"/>
    <row r="253" spans="2:5" s="1" customFormat="1" ht="15">
      <c r="B253" s="1" t="s">
        <v>170</v>
      </c>
      <c r="E253" s="1" t="s">
        <v>171</v>
      </c>
    </row>
    <row r="254" s="1" customFormat="1" ht="15"/>
    <row r="255" spans="2:5" s="1" customFormat="1" ht="15">
      <c r="B255" s="1" t="s">
        <v>136</v>
      </c>
      <c r="E255" s="1" t="s">
        <v>137</v>
      </c>
    </row>
    <row r="256" s="1" customFormat="1" ht="15"/>
    <row r="257" spans="1:8" ht="14.25">
      <c r="A257" s="139" t="s">
        <v>26</v>
      </c>
      <c r="B257" s="139"/>
      <c r="C257" s="139"/>
      <c r="D257" s="139"/>
      <c r="E257" s="139"/>
      <c r="F257" s="139"/>
      <c r="G257" s="139"/>
      <c r="H257" s="139"/>
    </row>
    <row r="258" spans="1:8" ht="14.25">
      <c r="A258" s="139" t="s">
        <v>84</v>
      </c>
      <c r="B258" s="139"/>
      <c r="C258" s="139"/>
      <c r="D258" s="139"/>
      <c r="E258" s="139"/>
      <c r="F258" s="139"/>
      <c r="G258" s="139"/>
      <c r="H258" s="139"/>
    </row>
    <row r="259" spans="1:8" ht="15">
      <c r="A259" s="1"/>
      <c r="B259" s="1"/>
      <c r="C259" s="1"/>
      <c r="D259" s="1"/>
      <c r="E259" s="1"/>
      <c r="F259" s="1"/>
      <c r="G259" s="1"/>
      <c r="H259" s="12" t="s">
        <v>79</v>
      </c>
    </row>
    <row r="260" spans="1:8" ht="15">
      <c r="A260" s="2" t="s">
        <v>1</v>
      </c>
      <c r="B260" s="2" t="s">
        <v>27</v>
      </c>
      <c r="C260" s="2" t="s">
        <v>28</v>
      </c>
      <c r="D260" s="2" t="s">
        <v>31</v>
      </c>
      <c r="E260" s="2" t="s">
        <v>28</v>
      </c>
      <c r="F260" s="2" t="s">
        <v>34</v>
      </c>
      <c r="G260" s="2" t="s">
        <v>36</v>
      </c>
      <c r="H260" s="2" t="s">
        <v>40</v>
      </c>
    </row>
    <row r="261" spans="1:8" ht="15">
      <c r="A261" s="5"/>
      <c r="B261" s="5"/>
      <c r="C261" s="3" t="s">
        <v>29</v>
      </c>
      <c r="D261" s="3" t="s">
        <v>32</v>
      </c>
      <c r="E261" s="3" t="s">
        <v>29</v>
      </c>
      <c r="F261" s="3" t="s">
        <v>32</v>
      </c>
      <c r="G261" s="3" t="s">
        <v>37</v>
      </c>
      <c r="H261" s="3" t="s">
        <v>39</v>
      </c>
    </row>
    <row r="262" spans="1:8" ht="15">
      <c r="A262" s="5"/>
      <c r="B262" s="5"/>
      <c r="C262" s="3" t="s">
        <v>30</v>
      </c>
      <c r="D262" s="5" t="s">
        <v>33</v>
      </c>
      <c r="E262" s="3" t="s">
        <v>20</v>
      </c>
      <c r="F262" s="3" t="s">
        <v>35</v>
      </c>
      <c r="G262" s="3" t="s">
        <v>38</v>
      </c>
      <c r="H262" s="5"/>
    </row>
    <row r="263" spans="1:8" ht="15">
      <c r="A263" s="6"/>
      <c r="B263" s="6"/>
      <c r="C263" s="6"/>
      <c r="D263" s="6"/>
      <c r="E263" s="6"/>
      <c r="F263" s="6"/>
      <c r="G263" s="6"/>
      <c r="H263" s="6"/>
    </row>
    <row r="264" spans="1:8" ht="15">
      <c r="A264" s="13"/>
      <c r="B264" s="13" t="s">
        <v>42</v>
      </c>
      <c r="C264" s="13"/>
      <c r="D264" s="13"/>
      <c r="E264" s="13"/>
      <c r="F264" s="13"/>
      <c r="G264" s="13"/>
      <c r="H264" s="14"/>
    </row>
    <row r="265" spans="1:8" ht="14.25">
      <c r="A265" s="13" t="s">
        <v>47</v>
      </c>
      <c r="B265" s="13" t="s">
        <v>43</v>
      </c>
      <c r="C265" s="15">
        <f>C267+C268+C271+C272+C273+C274+C275+C276+C277+C278+C279+C280+C281+C282+C283</f>
        <v>1495.2999999999997</v>
      </c>
      <c r="D265" s="15">
        <f>D267+D268+D271+D272+D273+D274+D275+D276+D277+D278+D279+D280+D281+D282+D283</f>
        <v>1495.2999999999997</v>
      </c>
      <c r="E265" s="15">
        <f>E267+E268+E271+E272+E273+E274+E275+E276+E277+E278+E279+E280+E281+E282+E283</f>
        <v>1682.1</v>
      </c>
      <c r="F265" s="15">
        <f>F267+F268+F271+F272+F273+F274+F275+F276+F277+F278+F279+F280+F281+F282+F283</f>
        <v>1682.0999999999997</v>
      </c>
      <c r="G265" s="15">
        <f>G267+G268+G271+G272+G273+G274+G275+G276+G277+G278+G279+G280+G281+G282+G283</f>
        <v>1846.3</v>
      </c>
      <c r="H265" s="15">
        <f>G265/E265*100</f>
        <v>109.76160751441651</v>
      </c>
    </row>
    <row r="266" spans="1:8" ht="15">
      <c r="A266" s="13"/>
      <c r="B266" s="14" t="s">
        <v>44</v>
      </c>
      <c r="C266" s="15"/>
      <c r="D266" s="15"/>
      <c r="E266" s="15"/>
      <c r="F266" s="15"/>
      <c r="G266" s="13"/>
      <c r="H266" s="14"/>
    </row>
    <row r="267" spans="1:8" ht="15">
      <c r="A267" s="14" t="s">
        <v>48</v>
      </c>
      <c r="B267" s="14" t="s">
        <v>111</v>
      </c>
      <c r="C267" s="14">
        <v>33.8</v>
      </c>
      <c r="D267" s="16">
        <v>33.8</v>
      </c>
      <c r="E267" s="14">
        <v>38</v>
      </c>
      <c r="F267" s="14">
        <v>35</v>
      </c>
      <c r="G267" s="14">
        <v>64.9</v>
      </c>
      <c r="H267" s="16">
        <f aca="true" t="shared" si="4" ref="H267:H283">G267/E267*100</f>
        <v>170.78947368421055</v>
      </c>
    </row>
    <row r="268" spans="1:8" ht="15">
      <c r="A268" s="14" t="s">
        <v>49</v>
      </c>
      <c r="B268" s="14" t="s">
        <v>96</v>
      </c>
      <c r="C268" s="16">
        <f>C269+C270</f>
        <v>171.60000000000002</v>
      </c>
      <c r="D268" s="16">
        <f>D269+D270</f>
        <v>165.4</v>
      </c>
      <c r="E268" s="14">
        <f>E269+E270</f>
        <v>211.6</v>
      </c>
      <c r="F268" s="14">
        <f>F269+F270</f>
        <v>211.6</v>
      </c>
      <c r="G268" s="14">
        <f>G269+G270</f>
        <v>242.8</v>
      </c>
      <c r="H268" s="16">
        <f t="shared" si="4"/>
        <v>114.74480151228734</v>
      </c>
    </row>
    <row r="269" spans="1:8" ht="15">
      <c r="A269" s="14"/>
      <c r="B269" s="14" t="s">
        <v>97</v>
      </c>
      <c r="C269" s="14">
        <v>120.4</v>
      </c>
      <c r="D269" s="16">
        <v>117.2</v>
      </c>
      <c r="E269" s="14">
        <v>146.7</v>
      </c>
      <c r="F269" s="16">
        <v>146.7</v>
      </c>
      <c r="G269" s="14">
        <v>167.1</v>
      </c>
      <c r="H269" s="16">
        <f t="shared" si="4"/>
        <v>113.90593047034766</v>
      </c>
    </row>
    <row r="270" spans="1:8" ht="15">
      <c r="A270" s="14"/>
      <c r="B270" s="14" t="s">
        <v>98</v>
      </c>
      <c r="C270" s="14">
        <v>51.2</v>
      </c>
      <c r="D270" s="16">
        <v>48.2</v>
      </c>
      <c r="E270" s="14">
        <v>64.9</v>
      </c>
      <c r="F270" s="14">
        <v>64.9</v>
      </c>
      <c r="G270" s="14">
        <v>75.7</v>
      </c>
      <c r="H270" s="16">
        <f t="shared" si="4"/>
        <v>116.64098613251154</v>
      </c>
    </row>
    <row r="271" spans="1:8" ht="15">
      <c r="A271" s="14" t="s">
        <v>50</v>
      </c>
      <c r="B271" s="14" t="s">
        <v>99</v>
      </c>
      <c r="C271" s="14">
        <v>18.6</v>
      </c>
      <c r="D271" s="16">
        <v>17.2</v>
      </c>
      <c r="E271" s="14">
        <v>20.9</v>
      </c>
      <c r="F271" s="16">
        <v>20.9</v>
      </c>
      <c r="G271" s="14">
        <v>23.9</v>
      </c>
      <c r="H271" s="16">
        <f t="shared" si="4"/>
        <v>114.35406698564594</v>
      </c>
    </row>
    <row r="272" spans="1:8" ht="15">
      <c r="A272" s="14" t="s">
        <v>51</v>
      </c>
      <c r="B272" s="14" t="s">
        <v>100</v>
      </c>
      <c r="C272" s="14">
        <v>39.8</v>
      </c>
      <c r="D272" s="16">
        <v>39.8</v>
      </c>
      <c r="E272" s="14">
        <v>44.8</v>
      </c>
      <c r="F272" s="14">
        <v>44.8</v>
      </c>
      <c r="G272" s="14">
        <v>43.4</v>
      </c>
      <c r="H272" s="16">
        <f t="shared" si="4"/>
        <v>96.875</v>
      </c>
    </row>
    <row r="273" spans="1:8" ht="15">
      <c r="A273" s="14" t="s">
        <v>52</v>
      </c>
      <c r="B273" s="14" t="s">
        <v>101</v>
      </c>
      <c r="C273" s="14">
        <v>17.7</v>
      </c>
      <c r="D273" s="16">
        <v>17.7</v>
      </c>
      <c r="E273" s="14">
        <v>19.9</v>
      </c>
      <c r="F273" s="16">
        <v>19.9</v>
      </c>
      <c r="G273" s="14">
        <v>19.3</v>
      </c>
      <c r="H273" s="16">
        <f t="shared" si="4"/>
        <v>96.98492462311559</v>
      </c>
    </row>
    <row r="274" spans="1:8" ht="15">
      <c r="A274" s="14" t="s">
        <v>53</v>
      </c>
      <c r="B274" s="14" t="s">
        <v>45</v>
      </c>
      <c r="C274" s="14">
        <v>116.3</v>
      </c>
      <c r="D274" s="16">
        <v>113.2</v>
      </c>
      <c r="E274" s="14">
        <v>130.8</v>
      </c>
      <c r="F274" s="16">
        <v>127.2</v>
      </c>
      <c r="G274" s="14">
        <v>126.7</v>
      </c>
      <c r="H274" s="16">
        <f t="shared" si="4"/>
        <v>96.86544342507645</v>
      </c>
    </row>
    <row r="275" spans="1:8" ht="15">
      <c r="A275" s="14" t="s">
        <v>54</v>
      </c>
      <c r="B275" s="14" t="s">
        <v>102</v>
      </c>
      <c r="C275" s="14">
        <v>181.5</v>
      </c>
      <c r="D275" s="16">
        <v>177.2</v>
      </c>
      <c r="E275" s="14">
        <v>204.2</v>
      </c>
      <c r="F275" s="16">
        <v>201.2</v>
      </c>
      <c r="G275" s="14">
        <v>197.7</v>
      </c>
      <c r="H275" s="16">
        <f t="shared" si="4"/>
        <v>96.81684622918706</v>
      </c>
    </row>
    <row r="276" spans="1:8" ht="15">
      <c r="A276" s="14" t="s">
        <v>72</v>
      </c>
      <c r="B276" s="14" t="s">
        <v>103</v>
      </c>
      <c r="C276" s="14">
        <v>54.5</v>
      </c>
      <c r="D276" s="16">
        <v>53</v>
      </c>
      <c r="E276" s="14">
        <v>61.3</v>
      </c>
      <c r="F276" s="16">
        <v>60</v>
      </c>
      <c r="G276" s="14">
        <v>59.4</v>
      </c>
      <c r="H276" s="16">
        <f t="shared" si="4"/>
        <v>96.90048939641109</v>
      </c>
    </row>
    <row r="277" spans="1:8" ht="15">
      <c r="A277" s="14" t="s">
        <v>90</v>
      </c>
      <c r="B277" s="14" t="s">
        <v>46</v>
      </c>
      <c r="C277" s="14">
        <v>325.9</v>
      </c>
      <c r="D277" s="16">
        <v>325.9</v>
      </c>
      <c r="E277" s="14">
        <v>366.6</v>
      </c>
      <c r="F277" s="16">
        <v>366.6</v>
      </c>
      <c r="G277" s="14">
        <v>381.6</v>
      </c>
      <c r="H277" s="16">
        <f t="shared" si="4"/>
        <v>104.09165302782324</v>
      </c>
    </row>
    <row r="278" spans="1:8" ht="15">
      <c r="A278" s="14" t="s">
        <v>92</v>
      </c>
      <c r="B278" s="14" t="s">
        <v>93</v>
      </c>
      <c r="C278" s="14">
        <v>28.4</v>
      </c>
      <c r="D278" s="16">
        <v>29.8</v>
      </c>
      <c r="E278" s="14">
        <v>31.9</v>
      </c>
      <c r="F278" s="16">
        <v>20.5</v>
      </c>
      <c r="G278" s="14">
        <v>88</v>
      </c>
      <c r="H278" s="16">
        <v>185.5</v>
      </c>
    </row>
    <row r="279" spans="1:8" ht="15">
      <c r="A279" s="14" t="s">
        <v>94</v>
      </c>
      <c r="B279" s="14" t="s">
        <v>95</v>
      </c>
      <c r="C279" s="14">
        <v>2</v>
      </c>
      <c r="D279" s="16">
        <v>4</v>
      </c>
      <c r="E279" s="14">
        <f>2.2</f>
        <v>2.2</v>
      </c>
      <c r="F279" s="16">
        <v>6</v>
      </c>
      <c r="G279" s="14">
        <v>25</v>
      </c>
      <c r="H279" s="16">
        <v>136.4</v>
      </c>
    </row>
    <row r="280" spans="1:8" ht="15">
      <c r="A280" s="14" t="s">
        <v>104</v>
      </c>
      <c r="B280" s="14" t="s">
        <v>91</v>
      </c>
      <c r="C280" s="14">
        <v>118.3</v>
      </c>
      <c r="D280" s="16">
        <v>115.2</v>
      </c>
      <c r="E280" s="14">
        <f>278.5+2.7-E281</f>
        <v>133.1</v>
      </c>
      <c r="F280" s="16">
        <v>129.1</v>
      </c>
      <c r="G280" s="14">
        <v>138.5</v>
      </c>
      <c r="H280" s="16">
        <f t="shared" si="4"/>
        <v>104.05709992486854</v>
      </c>
    </row>
    <row r="281" spans="1:8" ht="15">
      <c r="A281" s="14" t="s">
        <v>106</v>
      </c>
      <c r="B281" s="14" t="s">
        <v>105</v>
      </c>
      <c r="C281" s="14">
        <v>148.1</v>
      </c>
      <c r="D281" s="16">
        <v>148.1</v>
      </c>
      <c r="E281" s="14">
        <v>148.1</v>
      </c>
      <c r="F281" s="16">
        <v>148.1</v>
      </c>
      <c r="G281" s="14">
        <v>148.1</v>
      </c>
      <c r="H281" s="16">
        <f t="shared" si="4"/>
        <v>100</v>
      </c>
    </row>
    <row r="282" spans="1:8" ht="15">
      <c r="A282" s="14" t="s">
        <v>109</v>
      </c>
      <c r="B282" s="14" t="s">
        <v>108</v>
      </c>
      <c r="C282" s="14">
        <v>154.2</v>
      </c>
      <c r="D282" s="16">
        <v>170.4</v>
      </c>
      <c r="E282" s="14">
        <v>173.5</v>
      </c>
      <c r="F282" s="16">
        <v>196</v>
      </c>
      <c r="G282" s="14">
        <v>197.3</v>
      </c>
      <c r="H282" s="16">
        <f t="shared" si="4"/>
        <v>113.71757925072046</v>
      </c>
    </row>
    <row r="283" spans="1:8" ht="15">
      <c r="A283" s="14" t="s">
        <v>110</v>
      </c>
      <c r="B283" s="14" t="s">
        <v>107</v>
      </c>
      <c r="C283" s="14">
        <v>84.6</v>
      </c>
      <c r="D283" s="16">
        <v>84.6</v>
      </c>
      <c r="E283" s="14">
        <v>95.2</v>
      </c>
      <c r="F283" s="16">
        <v>95.2</v>
      </c>
      <c r="G283" s="14">
        <v>89.7</v>
      </c>
      <c r="H283" s="16">
        <f t="shared" si="4"/>
        <v>94.22268907563026</v>
      </c>
    </row>
    <row r="284" spans="1:8" ht="14.25">
      <c r="A284" s="13" t="s">
        <v>55</v>
      </c>
      <c r="B284" s="13" t="s">
        <v>56</v>
      </c>
      <c r="C284" s="13">
        <v>0</v>
      </c>
      <c r="D284" s="13">
        <f>D286+D287+D288+D289+D290+D291+D292+D293+D294+D295+D296+D297+D298+D299+D300+D301</f>
        <v>430.40000000000003</v>
      </c>
      <c r="E284" s="13">
        <f>E286+E287+E288+E289+E290+E291+E292+E293+E294+E295+E296+E297+E298+E299+E300+E301</f>
        <v>430.4</v>
      </c>
      <c r="F284" s="13">
        <f>F286+F287+F288+F289+F290+F291+F292+F293+F294+F295+F296+F297+F298+F299+F300+F301</f>
        <v>430.40000000000003</v>
      </c>
      <c r="G284" s="13">
        <f>G286+G287+G288+G289+G290+G291+G292+G293+G294+G295+G296+G297+G298+G299+G300+G301</f>
        <v>473.4</v>
      </c>
      <c r="H284" s="15">
        <v>109.8</v>
      </c>
    </row>
    <row r="285" spans="1:8" ht="15">
      <c r="A285" s="14"/>
      <c r="B285" s="14" t="s">
        <v>44</v>
      </c>
      <c r="C285" s="14"/>
      <c r="D285" s="14"/>
      <c r="E285" s="14"/>
      <c r="F285" s="14"/>
      <c r="G285" s="14"/>
      <c r="H285" s="14"/>
    </row>
    <row r="286" spans="1:8" ht="15">
      <c r="A286" s="14" t="s">
        <v>57</v>
      </c>
      <c r="B286" s="14" t="s">
        <v>73</v>
      </c>
      <c r="C286" s="14"/>
      <c r="D286" s="14">
        <v>180.5</v>
      </c>
      <c r="E286" s="14"/>
      <c r="F286" s="14"/>
      <c r="G286" s="14"/>
      <c r="H286" s="14"/>
    </row>
    <row r="287" spans="1:8" ht="15">
      <c r="A287" s="14" t="s">
        <v>58</v>
      </c>
      <c r="B287" s="14" t="s">
        <v>74</v>
      </c>
      <c r="C287" s="14"/>
      <c r="D287" s="14">
        <f>11.9+9.1</f>
        <v>21</v>
      </c>
      <c r="E287" s="14">
        <v>36</v>
      </c>
      <c r="F287" s="14">
        <f>25+15</f>
        <v>40</v>
      </c>
      <c r="G287" s="14">
        <v>29.9</v>
      </c>
      <c r="H287" s="14"/>
    </row>
    <row r="288" spans="1:8" ht="15">
      <c r="A288" s="14" t="s">
        <v>59</v>
      </c>
      <c r="B288" s="14" t="s">
        <v>155</v>
      </c>
      <c r="C288" s="14"/>
      <c r="D288" s="14">
        <v>20.5</v>
      </c>
      <c r="E288" s="14">
        <v>41.9</v>
      </c>
      <c r="F288" s="14"/>
      <c r="G288" s="14">
        <f>20</f>
        <v>20</v>
      </c>
      <c r="H288" s="14"/>
    </row>
    <row r="289" spans="1:8" ht="15">
      <c r="A289" s="14" t="s">
        <v>60</v>
      </c>
      <c r="B289" s="14" t="s">
        <v>76</v>
      </c>
      <c r="C289" s="14"/>
      <c r="D289" s="14">
        <v>28.8</v>
      </c>
      <c r="E289" s="14"/>
      <c r="F289" s="14"/>
      <c r="G289" s="14"/>
      <c r="H289" s="14"/>
    </row>
    <row r="290" spans="1:8" ht="15">
      <c r="A290" s="14" t="s">
        <v>85</v>
      </c>
      <c r="B290" s="14" t="s">
        <v>158</v>
      </c>
      <c r="C290" s="14"/>
      <c r="D290" s="14"/>
      <c r="E290" s="14">
        <v>55</v>
      </c>
      <c r="F290" s="14"/>
      <c r="G290" s="14"/>
      <c r="H290" s="14"/>
    </row>
    <row r="291" spans="1:8" ht="15">
      <c r="A291" s="14" t="s">
        <v>87</v>
      </c>
      <c r="B291" s="14" t="s">
        <v>160</v>
      </c>
      <c r="C291" s="14"/>
      <c r="D291" s="14">
        <f>114+8.9+12.5+10.5</f>
        <v>145.9</v>
      </c>
      <c r="E291" s="14"/>
      <c r="F291" s="14"/>
      <c r="G291" s="14">
        <v>30</v>
      </c>
      <c r="H291" s="14"/>
    </row>
    <row r="292" spans="1:8" ht="15">
      <c r="A292" s="14" t="s">
        <v>145</v>
      </c>
      <c r="B292" s="14" t="s">
        <v>89</v>
      </c>
      <c r="C292" s="14"/>
      <c r="D292" s="14">
        <v>31.9</v>
      </c>
      <c r="E292" s="14"/>
      <c r="F292" s="14"/>
      <c r="G292" s="14"/>
      <c r="H292" s="14"/>
    </row>
    <row r="293" spans="1:8" ht="15">
      <c r="A293" s="14" t="s">
        <v>146</v>
      </c>
      <c r="B293" s="14" t="s">
        <v>159</v>
      </c>
      <c r="C293" s="14"/>
      <c r="D293" s="14"/>
      <c r="E293" s="14">
        <v>27.5</v>
      </c>
      <c r="F293" s="14"/>
      <c r="G293" s="14"/>
      <c r="H293" s="14"/>
    </row>
    <row r="294" spans="1:8" ht="15">
      <c r="A294" s="14" t="s">
        <v>147</v>
      </c>
      <c r="B294" s="14" t="s">
        <v>139</v>
      </c>
      <c r="C294" s="14"/>
      <c r="D294" s="14"/>
      <c r="E294" s="14"/>
      <c r="F294" s="14">
        <v>54.5</v>
      </c>
      <c r="G294" s="14"/>
      <c r="H294" s="14"/>
    </row>
    <row r="295" spans="1:8" ht="15">
      <c r="A295" s="14" t="s">
        <v>148</v>
      </c>
      <c r="B295" s="14" t="s">
        <v>166</v>
      </c>
      <c r="C295" s="14"/>
      <c r="D295" s="14"/>
      <c r="E295" s="14"/>
      <c r="F295" s="14"/>
      <c r="G295" s="14">
        <v>15</v>
      </c>
      <c r="H295" s="14"/>
    </row>
    <row r="296" spans="1:8" ht="15">
      <c r="A296" s="14" t="s">
        <v>180</v>
      </c>
      <c r="B296" s="14" t="s">
        <v>175</v>
      </c>
      <c r="C296" s="14"/>
      <c r="D296" s="14"/>
      <c r="E296" s="14"/>
      <c r="F296" s="14"/>
      <c r="G296" s="14">
        <f>175.8+46.2</f>
        <v>222</v>
      </c>
      <c r="H296" s="14"/>
    </row>
    <row r="297" spans="1:8" ht="15">
      <c r="A297" s="14" t="s">
        <v>149</v>
      </c>
      <c r="B297" s="14" t="s">
        <v>176</v>
      </c>
      <c r="C297" s="14"/>
      <c r="D297" s="14"/>
      <c r="E297" s="14"/>
      <c r="F297" s="14"/>
      <c r="G297" s="14">
        <v>73.1</v>
      </c>
      <c r="H297" s="14"/>
    </row>
    <row r="298" spans="1:8" ht="15">
      <c r="A298" s="14" t="s">
        <v>150</v>
      </c>
      <c r="B298" s="14" t="s">
        <v>80</v>
      </c>
      <c r="C298" s="14"/>
      <c r="D298" s="14"/>
      <c r="E298" s="14">
        <v>270</v>
      </c>
      <c r="F298" s="14">
        <f>124.7+94.8+31+121.1+106</f>
        <v>477.6</v>
      </c>
      <c r="G298" s="14"/>
      <c r="H298" s="14"/>
    </row>
    <row r="299" spans="1:8" ht="15">
      <c r="A299" s="14" t="s">
        <v>151</v>
      </c>
      <c r="B299" s="14" t="s">
        <v>169</v>
      </c>
      <c r="C299" s="14"/>
      <c r="D299" s="14"/>
      <c r="E299" s="14"/>
      <c r="F299" s="14"/>
      <c r="G299" s="14">
        <v>83.4</v>
      </c>
      <c r="H299" s="14"/>
    </row>
    <row r="300" spans="1:8" ht="15">
      <c r="A300" s="14" t="s">
        <v>152</v>
      </c>
      <c r="B300" s="14" t="s">
        <v>143</v>
      </c>
      <c r="C300" s="14"/>
      <c r="D300" s="14"/>
      <c r="E300" s="14"/>
      <c r="F300" s="14">
        <v>8</v>
      </c>
      <c r="G300" s="14"/>
      <c r="H300" s="14"/>
    </row>
    <row r="301" spans="1:8" ht="15">
      <c r="A301" s="14" t="s">
        <v>153</v>
      </c>
      <c r="B301" s="14" t="s">
        <v>179</v>
      </c>
      <c r="C301" s="14"/>
      <c r="D301" s="14">
        <v>1.8</v>
      </c>
      <c r="E301" s="14"/>
      <c r="F301" s="14">
        <v>-149.7</v>
      </c>
      <c r="G301" s="14"/>
      <c r="H301" s="14"/>
    </row>
    <row r="302" spans="1:8" ht="15">
      <c r="A302" s="13"/>
      <c r="B302" s="13" t="s">
        <v>61</v>
      </c>
      <c r="C302" s="13"/>
      <c r="D302" s="13"/>
      <c r="E302" s="13"/>
      <c r="F302" s="13"/>
      <c r="G302" s="13"/>
      <c r="H302" s="14"/>
    </row>
    <row r="303" spans="1:8" ht="15">
      <c r="A303" s="13"/>
      <c r="B303" s="13" t="s">
        <v>62</v>
      </c>
      <c r="C303" s="15">
        <f>C265+C284</f>
        <v>1495.2999999999997</v>
      </c>
      <c r="D303" s="15">
        <f>D265+D284</f>
        <v>1925.6999999999998</v>
      </c>
      <c r="E303" s="15">
        <f>E265+E284</f>
        <v>2112.5</v>
      </c>
      <c r="F303" s="15">
        <f>F265+F284</f>
        <v>2112.4999999999995</v>
      </c>
      <c r="G303" s="15">
        <f>G265+G284</f>
        <v>2319.7</v>
      </c>
      <c r="H303" s="14"/>
    </row>
    <row r="304" spans="1:8" ht="15">
      <c r="A304" s="13" t="s">
        <v>64</v>
      </c>
      <c r="B304" s="14" t="s">
        <v>63</v>
      </c>
      <c r="C304" s="14">
        <v>1.9</v>
      </c>
      <c r="D304" s="14">
        <v>1.9</v>
      </c>
      <c r="E304" s="14">
        <v>2.3</v>
      </c>
      <c r="F304" s="14">
        <v>2.3</v>
      </c>
      <c r="G304" s="14">
        <v>0</v>
      </c>
      <c r="H304" s="14"/>
    </row>
    <row r="305" spans="1:8" ht="14.25">
      <c r="A305" s="13"/>
      <c r="B305" s="13" t="s">
        <v>65</v>
      </c>
      <c r="C305" s="15">
        <f>C303+C304</f>
        <v>1497.1999999999998</v>
      </c>
      <c r="D305" s="15">
        <f>D303+D304</f>
        <v>1927.6</v>
      </c>
      <c r="E305" s="15">
        <f>E303+E304</f>
        <v>2114.8</v>
      </c>
      <c r="F305" s="15">
        <f>F303+F304</f>
        <v>2114.7999999999997</v>
      </c>
      <c r="G305" s="15">
        <f>G303+G304</f>
        <v>2319.7</v>
      </c>
      <c r="H305" s="13"/>
    </row>
    <row r="306" spans="1:8" ht="14.25">
      <c r="A306" s="13"/>
      <c r="B306" s="13" t="s">
        <v>66</v>
      </c>
      <c r="C306" s="15">
        <f>C308+C310+C311</f>
        <v>1497.1999999999998</v>
      </c>
      <c r="D306" s="15">
        <f>D308+D310+D311</f>
        <v>1927.6</v>
      </c>
      <c r="E306" s="15">
        <f>E308+E310+E311</f>
        <v>2114.8</v>
      </c>
      <c r="F306" s="15">
        <f>F308+F310+F311</f>
        <v>2114.7999999999997</v>
      </c>
      <c r="G306" s="15">
        <f>G308+G310+G311</f>
        <v>2319.7</v>
      </c>
      <c r="H306" s="13"/>
    </row>
    <row r="307" spans="1:8" ht="15">
      <c r="A307" s="14"/>
      <c r="B307" s="14" t="s">
        <v>44</v>
      </c>
      <c r="C307" s="14"/>
      <c r="D307" s="14"/>
      <c r="E307" s="14"/>
      <c r="F307" s="14"/>
      <c r="G307" s="14"/>
      <c r="H307" s="14"/>
    </row>
    <row r="308" spans="1:8" ht="15">
      <c r="A308" s="14"/>
      <c r="B308" s="14" t="s">
        <v>67</v>
      </c>
      <c r="C308" s="16">
        <f>C265+C284</f>
        <v>1495.2999999999997</v>
      </c>
      <c r="D308" s="16">
        <f>D265+D284</f>
        <v>1925.6999999999998</v>
      </c>
      <c r="E308" s="16">
        <f>E265+E284</f>
        <v>2112.5</v>
      </c>
      <c r="F308" s="16">
        <f>F265+F284</f>
        <v>2112.4999999999995</v>
      </c>
      <c r="G308" s="16">
        <f>G265+G284</f>
        <v>2319.7</v>
      </c>
      <c r="H308" s="13"/>
    </row>
    <row r="309" spans="1:8" ht="15">
      <c r="A309" s="17"/>
      <c r="B309" s="18" t="s">
        <v>16</v>
      </c>
      <c r="C309" s="13"/>
      <c r="D309" s="13"/>
      <c r="E309" s="13"/>
      <c r="F309" s="13"/>
      <c r="G309" s="13"/>
      <c r="H309" s="13"/>
    </row>
    <row r="310" spans="1:8" ht="15">
      <c r="A310" s="17"/>
      <c r="B310" s="18" t="s">
        <v>68</v>
      </c>
      <c r="C310" s="17">
        <v>1.9</v>
      </c>
      <c r="D310" s="17">
        <v>1.9</v>
      </c>
      <c r="E310" s="17">
        <v>2.3</v>
      </c>
      <c r="F310" s="17">
        <v>2.3</v>
      </c>
      <c r="G310" s="17">
        <v>0</v>
      </c>
      <c r="H310" s="17"/>
    </row>
    <row r="311" spans="1:8" ht="15">
      <c r="A311" s="17"/>
      <c r="B311" s="18" t="s">
        <v>69</v>
      </c>
      <c r="C311" s="13"/>
      <c r="D311" s="13"/>
      <c r="E311" s="13"/>
      <c r="F311" s="13"/>
      <c r="G311" s="13"/>
      <c r="H311" s="13"/>
    </row>
    <row r="312" spans="1:8" ht="15">
      <c r="A312" s="17"/>
      <c r="B312" s="18" t="s">
        <v>70</v>
      </c>
      <c r="C312" s="13"/>
      <c r="D312" s="13"/>
      <c r="E312" s="13"/>
      <c r="F312" s="13"/>
      <c r="G312" s="13"/>
      <c r="H312" s="13"/>
    </row>
    <row r="313" spans="1:8" ht="12.75">
      <c r="A313" s="19"/>
      <c r="B313" s="19" t="s">
        <v>71</v>
      </c>
      <c r="C313" s="27">
        <f>C306-C305</f>
        <v>0</v>
      </c>
      <c r="D313" s="27">
        <f>D306-D305</f>
        <v>0</v>
      </c>
      <c r="E313" s="27">
        <f>E306-E305</f>
        <v>0</v>
      </c>
      <c r="F313" s="27">
        <f>F306-F305</f>
        <v>0</v>
      </c>
      <c r="G313" s="27">
        <f>G306-G305</f>
        <v>0</v>
      </c>
      <c r="H313" s="19"/>
    </row>
    <row r="314" spans="2:5" s="1" customFormat="1" ht="15">
      <c r="B314" s="1" t="s">
        <v>134</v>
      </c>
      <c r="E314" s="1" t="s">
        <v>135</v>
      </c>
    </row>
    <row r="315" s="1" customFormat="1" ht="15"/>
    <row r="316" spans="2:5" s="1" customFormat="1" ht="15">
      <c r="B316" s="1" t="s">
        <v>170</v>
      </c>
      <c r="E316" s="1" t="s">
        <v>171</v>
      </c>
    </row>
    <row r="317" s="1" customFormat="1" ht="15"/>
    <row r="318" spans="2:5" s="1" customFormat="1" ht="15">
      <c r="B318" s="1" t="s">
        <v>136</v>
      </c>
      <c r="E318" s="1" t="s">
        <v>137</v>
      </c>
    </row>
    <row r="319" s="1" customFormat="1" ht="15"/>
    <row r="321" spans="1:8" ht="14.25">
      <c r="A321" s="139" t="s">
        <v>26</v>
      </c>
      <c r="B321" s="139"/>
      <c r="C321" s="139"/>
      <c r="D321" s="139"/>
      <c r="E321" s="139"/>
      <c r="F321" s="139"/>
      <c r="G321" s="139"/>
      <c r="H321" s="139"/>
    </row>
    <row r="322" spans="1:8" ht="14.25">
      <c r="A322" s="139" t="s">
        <v>86</v>
      </c>
      <c r="B322" s="139"/>
      <c r="C322" s="139"/>
      <c r="D322" s="139"/>
      <c r="E322" s="139"/>
      <c r="F322" s="139"/>
      <c r="G322" s="139"/>
      <c r="H322" s="139"/>
    </row>
    <row r="323" spans="1:8" ht="15">
      <c r="A323" s="1"/>
      <c r="B323" s="1"/>
      <c r="C323" s="1"/>
      <c r="D323" s="1"/>
      <c r="E323" s="1"/>
      <c r="F323" s="1"/>
      <c r="G323" s="1"/>
      <c r="H323" s="12" t="s">
        <v>79</v>
      </c>
    </row>
    <row r="324" spans="1:8" ht="15">
      <c r="A324" s="2" t="s">
        <v>1</v>
      </c>
      <c r="B324" s="2" t="s">
        <v>27</v>
      </c>
      <c r="C324" s="2" t="s">
        <v>28</v>
      </c>
      <c r="D324" s="2" t="s">
        <v>31</v>
      </c>
      <c r="E324" s="2" t="s">
        <v>28</v>
      </c>
      <c r="F324" s="2" t="s">
        <v>34</v>
      </c>
      <c r="G324" s="2" t="s">
        <v>36</v>
      </c>
      <c r="H324" s="2" t="s">
        <v>40</v>
      </c>
    </row>
    <row r="325" spans="1:8" ht="15">
      <c r="A325" s="5"/>
      <c r="B325" s="5"/>
      <c r="C325" s="3" t="s">
        <v>29</v>
      </c>
      <c r="D325" s="3" t="s">
        <v>32</v>
      </c>
      <c r="E325" s="3" t="s">
        <v>29</v>
      </c>
      <c r="F325" s="3" t="s">
        <v>32</v>
      </c>
      <c r="G325" s="3" t="s">
        <v>37</v>
      </c>
      <c r="H325" s="3" t="s">
        <v>39</v>
      </c>
    </row>
    <row r="326" spans="1:8" ht="15">
      <c r="A326" s="5"/>
      <c r="B326" s="5"/>
      <c r="C326" s="3" t="s">
        <v>30</v>
      </c>
      <c r="D326" s="5" t="s">
        <v>33</v>
      </c>
      <c r="E326" s="3" t="s">
        <v>20</v>
      </c>
      <c r="F326" s="3" t="s">
        <v>35</v>
      </c>
      <c r="G326" s="3" t="s">
        <v>38</v>
      </c>
      <c r="H326" s="5"/>
    </row>
    <row r="327" spans="1:8" ht="15">
      <c r="A327" s="6"/>
      <c r="B327" s="6"/>
      <c r="C327" s="6"/>
      <c r="D327" s="6"/>
      <c r="E327" s="6"/>
      <c r="F327" s="6"/>
      <c r="G327" s="6"/>
      <c r="H327" s="6"/>
    </row>
    <row r="328" spans="1:8" ht="15">
      <c r="A328" s="13"/>
      <c r="B328" s="13" t="s">
        <v>42</v>
      </c>
      <c r="C328" s="13"/>
      <c r="D328" s="13"/>
      <c r="E328" s="13"/>
      <c r="F328" s="13"/>
      <c r="G328" s="13"/>
      <c r="H328" s="14"/>
    </row>
    <row r="329" spans="1:8" ht="14.25">
      <c r="A329" s="13" t="s">
        <v>47</v>
      </c>
      <c r="B329" s="13" t="s">
        <v>43</v>
      </c>
      <c r="C329" s="15">
        <f>C331+C332+C335+C336+C337+C338+C339+C340+C341+C342+C343+C344+C345+C346+C347</f>
        <v>2560.3</v>
      </c>
      <c r="D329" s="15">
        <f>D331+D332+D335+D336+D337+D338+D339+D340+D341+D342+D343+D344+D345+D346+D347</f>
        <v>2560.3</v>
      </c>
      <c r="E329" s="15">
        <f>E331+E332+E335+E336+E337+E338+E339+E340+E341+E342+E343+E344+E345+E346+E347</f>
        <v>2890.3</v>
      </c>
      <c r="F329" s="15">
        <f>F331+F332+F335+F336+F337+F338+F339+F340+F341+F342+F343+F344+F345+F346+F347</f>
        <v>3011.5</v>
      </c>
      <c r="G329" s="15">
        <f>G331+G332+G335+G336+G337+G338+G339+G340+G341+G342+G343+G344+G345+G346+G347</f>
        <v>3173.0000000000005</v>
      </c>
      <c r="H329" s="15">
        <f aca="true" t="shared" si="5" ref="H329:H347">G329/E329*100</f>
        <v>109.78099159256824</v>
      </c>
    </row>
    <row r="330" spans="1:8" ht="15">
      <c r="A330" s="13"/>
      <c r="B330" s="14" t="s">
        <v>44</v>
      </c>
      <c r="C330" s="15"/>
      <c r="D330" s="15"/>
      <c r="E330" s="15"/>
      <c r="F330" s="15"/>
      <c r="G330" s="13"/>
      <c r="H330" s="14"/>
    </row>
    <row r="331" spans="1:8" ht="15">
      <c r="A331" s="14" t="s">
        <v>48</v>
      </c>
      <c r="B331" s="14" t="s">
        <v>111</v>
      </c>
      <c r="C331" s="14">
        <v>64.8</v>
      </c>
      <c r="D331" s="16">
        <v>64.8</v>
      </c>
      <c r="E331" s="14">
        <v>0</v>
      </c>
      <c r="F331" s="14">
        <v>0</v>
      </c>
      <c r="G331" s="14"/>
      <c r="H331" s="16">
        <v>0</v>
      </c>
    </row>
    <row r="332" spans="1:8" ht="15">
      <c r="A332" s="14" t="s">
        <v>49</v>
      </c>
      <c r="B332" s="14" t="s">
        <v>96</v>
      </c>
      <c r="C332" s="16">
        <f>C333+C334</f>
        <v>282.5</v>
      </c>
      <c r="D332" s="16">
        <f>D333+D334</f>
        <v>282.5</v>
      </c>
      <c r="E332" s="14">
        <f>E333+E334</f>
        <v>317.8</v>
      </c>
      <c r="F332" s="14">
        <f>F333+F334</f>
        <v>317.8</v>
      </c>
      <c r="G332" s="14">
        <f>G333+G334</f>
        <v>365</v>
      </c>
      <c r="H332" s="16">
        <f t="shared" si="5"/>
        <v>114.85210824417874</v>
      </c>
    </row>
    <row r="333" spans="1:8" ht="15">
      <c r="A333" s="14"/>
      <c r="B333" s="14" t="s">
        <v>97</v>
      </c>
      <c r="C333" s="14">
        <v>184.8</v>
      </c>
      <c r="D333" s="16">
        <v>184.8</v>
      </c>
      <c r="E333" s="14">
        <v>207.9</v>
      </c>
      <c r="F333" s="16">
        <v>207.9</v>
      </c>
      <c r="G333" s="14">
        <v>236.8</v>
      </c>
      <c r="H333" s="16">
        <f t="shared" si="5"/>
        <v>113.9009139009139</v>
      </c>
    </row>
    <row r="334" spans="1:8" ht="15">
      <c r="A334" s="14"/>
      <c r="B334" s="14" t="s">
        <v>98</v>
      </c>
      <c r="C334" s="14">
        <v>97.7</v>
      </c>
      <c r="D334" s="16">
        <v>97.7</v>
      </c>
      <c r="E334" s="14">
        <v>109.9</v>
      </c>
      <c r="F334" s="14">
        <v>109.9</v>
      </c>
      <c r="G334" s="14">
        <v>128.2</v>
      </c>
      <c r="H334" s="16">
        <f t="shared" si="5"/>
        <v>116.65150136487713</v>
      </c>
    </row>
    <row r="335" spans="1:8" ht="15">
      <c r="A335" s="14" t="s">
        <v>50</v>
      </c>
      <c r="B335" s="14" t="s">
        <v>99</v>
      </c>
      <c r="C335" s="14">
        <v>26.4</v>
      </c>
      <c r="D335" s="16">
        <v>26.4</v>
      </c>
      <c r="E335" s="14">
        <v>29.7</v>
      </c>
      <c r="F335" s="16">
        <v>29.7</v>
      </c>
      <c r="G335" s="14">
        <v>33.8</v>
      </c>
      <c r="H335" s="16">
        <f t="shared" si="5"/>
        <v>113.8047138047138</v>
      </c>
    </row>
    <row r="336" spans="1:8" ht="15">
      <c r="A336" s="14" t="s">
        <v>51</v>
      </c>
      <c r="B336" s="14" t="s">
        <v>100</v>
      </c>
      <c r="C336" s="14">
        <v>67.5</v>
      </c>
      <c r="D336" s="16">
        <v>67.5</v>
      </c>
      <c r="E336" s="14">
        <v>10</v>
      </c>
      <c r="F336" s="14">
        <v>75.9</v>
      </c>
      <c r="G336" s="14">
        <v>73.4</v>
      </c>
      <c r="H336" s="16">
        <f t="shared" si="5"/>
        <v>734.0000000000001</v>
      </c>
    </row>
    <row r="337" spans="1:8" ht="15">
      <c r="A337" s="14" t="s">
        <v>52</v>
      </c>
      <c r="B337" s="14" t="s">
        <v>101</v>
      </c>
      <c r="C337" s="14">
        <v>25.2</v>
      </c>
      <c r="D337" s="16">
        <v>25.2</v>
      </c>
      <c r="E337" s="14">
        <v>28.3</v>
      </c>
      <c r="F337" s="16">
        <v>28</v>
      </c>
      <c r="G337" s="14">
        <v>27.3</v>
      </c>
      <c r="H337" s="16">
        <f t="shared" si="5"/>
        <v>96.46643109540636</v>
      </c>
    </row>
    <row r="338" spans="1:8" ht="15">
      <c r="A338" s="14" t="s">
        <v>53</v>
      </c>
      <c r="B338" s="14" t="s">
        <v>45</v>
      </c>
      <c r="C338" s="14">
        <v>381.2</v>
      </c>
      <c r="D338" s="16">
        <v>380.2</v>
      </c>
      <c r="E338" s="14">
        <v>61.9</v>
      </c>
      <c r="F338" s="16">
        <v>62</v>
      </c>
      <c r="G338" s="14">
        <v>207.6</v>
      </c>
      <c r="H338" s="16">
        <f t="shared" si="5"/>
        <v>335.3796445880452</v>
      </c>
    </row>
    <row r="339" spans="1:8" ht="15">
      <c r="A339" s="14" t="s">
        <v>54</v>
      </c>
      <c r="B339" s="14" t="s">
        <v>102</v>
      </c>
      <c r="C339" s="14">
        <v>405.5</v>
      </c>
      <c r="D339" s="16">
        <v>403.2</v>
      </c>
      <c r="E339" s="14">
        <v>456.2</v>
      </c>
      <c r="F339" s="16">
        <v>446.6</v>
      </c>
      <c r="G339" s="14">
        <v>324.7</v>
      </c>
      <c r="H339" s="16">
        <f t="shared" si="5"/>
        <v>71.17492327926348</v>
      </c>
    </row>
    <row r="340" spans="1:8" ht="15">
      <c r="A340" s="14" t="s">
        <v>72</v>
      </c>
      <c r="B340" s="14" t="s">
        <v>103</v>
      </c>
      <c r="C340" s="14">
        <v>80</v>
      </c>
      <c r="D340" s="16">
        <v>80</v>
      </c>
      <c r="E340" s="14">
        <v>90</v>
      </c>
      <c r="F340" s="16">
        <v>89.5</v>
      </c>
      <c r="G340" s="14">
        <v>87.3</v>
      </c>
      <c r="H340" s="16">
        <f t="shared" si="5"/>
        <v>97</v>
      </c>
    </row>
    <row r="341" spans="1:8" ht="15">
      <c r="A341" s="14" t="s">
        <v>90</v>
      </c>
      <c r="B341" s="14" t="s">
        <v>46</v>
      </c>
      <c r="C341" s="14">
        <v>184.4</v>
      </c>
      <c r="D341" s="16">
        <v>184.4</v>
      </c>
      <c r="E341" s="14">
        <v>900.4</v>
      </c>
      <c r="F341" s="16">
        <v>850</v>
      </c>
      <c r="G341" s="14">
        <v>872.2</v>
      </c>
      <c r="H341" s="16">
        <f t="shared" si="5"/>
        <v>96.86805864060418</v>
      </c>
    </row>
    <row r="342" spans="1:8" ht="15">
      <c r="A342" s="14" t="s">
        <v>92</v>
      </c>
      <c r="B342" s="14" t="s">
        <v>93</v>
      </c>
      <c r="C342" s="14">
        <v>101.4</v>
      </c>
      <c r="D342" s="16">
        <v>90.8</v>
      </c>
      <c r="E342" s="14">
        <v>28.4</v>
      </c>
      <c r="F342" s="16">
        <v>40</v>
      </c>
      <c r="G342" s="14">
        <v>30</v>
      </c>
      <c r="H342" s="16">
        <f t="shared" si="5"/>
        <v>105.63380281690142</v>
      </c>
    </row>
    <row r="343" spans="1:8" ht="15">
      <c r="A343" s="14" t="s">
        <v>94</v>
      </c>
      <c r="B343" s="14" t="s">
        <v>95</v>
      </c>
      <c r="C343" s="14">
        <v>26.2</v>
      </c>
      <c r="D343" s="16">
        <v>29.3</v>
      </c>
      <c r="E343" s="14">
        <v>11.3</v>
      </c>
      <c r="F343" s="16">
        <v>38</v>
      </c>
      <c r="G343" s="14">
        <v>30</v>
      </c>
      <c r="H343" s="16">
        <f t="shared" si="5"/>
        <v>265.4867256637168</v>
      </c>
    </row>
    <row r="344" spans="1:8" ht="15">
      <c r="A344" s="14" t="s">
        <v>104</v>
      </c>
      <c r="B344" s="14" t="s">
        <v>91</v>
      </c>
      <c r="C344" s="14">
        <v>259.9</v>
      </c>
      <c r="D344" s="16">
        <v>243.5</v>
      </c>
      <c r="E344" s="14">
        <v>250.5</v>
      </c>
      <c r="F344" s="16">
        <v>290</v>
      </c>
      <c r="G344" s="14">
        <v>421.1</v>
      </c>
      <c r="H344" s="16">
        <f t="shared" si="5"/>
        <v>168.10379241516966</v>
      </c>
    </row>
    <row r="345" spans="1:8" ht="15">
      <c r="A345" s="14" t="s">
        <v>106</v>
      </c>
      <c r="B345" s="14" t="s">
        <v>105</v>
      </c>
      <c r="C345" s="14">
        <v>250.8</v>
      </c>
      <c r="D345" s="16">
        <v>250.8</v>
      </c>
      <c r="E345" s="14">
        <v>250.8</v>
      </c>
      <c r="F345" s="16">
        <v>250.8</v>
      </c>
      <c r="G345" s="14">
        <v>250.8</v>
      </c>
      <c r="H345" s="16">
        <f t="shared" si="5"/>
        <v>100</v>
      </c>
    </row>
    <row r="346" spans="1:8" ht="15">
      <c r="A346" s="14" t="s">
        <v>109</v>
      </c>
      <c r="B346" s="14" t="s">
        <v>108</v>
      </c>
      <c r="C346" s="14">
        <v>261.2</v>
      </c>
      <c r="D346" s="16">
        <v>288.4</v>
      </c>
      <c r="E346" s="14">
        <v>293.8</v>
      </c>
      <c r="F346" s="16">
        <v>332</v>
      </c>
      <c r="G346" s="14">
        <v>298</v>
      </c>
      <c r="H346" s="16">
        <f t="shared" si="5"/>
        <v>101.42954390742001</v>
      </c>
    </row>
    <row r="347" spans="1:8" ht="15">
      <c r="A347" s="14" t="s">
        <v>110</v>
      </c>
      <c r="B347" s="14" t="s">
        <v>107</v>
      </c>
      <c r="C347" s="14">
        <v>143.3</v>
      </c>
      <c r="D347" s="16">
        <v>143.3</v>
      </c>
      <c r="E347" s="14">
        <v>161.2</v>
      </c>
      <c r="F347" s="16">
        <v>161.2</v>
      </c>
      <c r="G347" s="14">
        <v>151.8</v>
      </c>
      <c r="H347" s="16">
        <f t="shared" si="5"/>
        <v>94.16873449131515</v>
      </c>
    </row>
    <row r="348" spans="1:8" ht="14.25">
      <c r="A348" s="13" t="s">
        <v>55</v>
      </c>
      <c r="B348" s="13" t="s">
        <v>56</v>
      </c>
      <c r="C348" s="13">
        <v>0</v>
      </c>
      <c r="D348" s="13">
        <f>D350+D351+D352+D353+D354+D355+D356+D357+D358+D359+D360+D361+D362+D363+D364+D365</f>
        <v>728.7</v>
      </c>
      <c r="E348" s="13">
        <f>E350+E351+E352+E353+E354+E355+E356+E357+E358+E359+E360+E361+E362+E363+E364+E365</f>
        <v>728.7</v>
      </c>
      <c r="F348" s="13">
        <f>F350+F351+F352+F353+F354+F355+F356+F357+F358+F359+F360+F361+F362+F363+F364+F365</f>
        <v>728.6999999999999</v>
      </c>
      <c r="G348" s="13">
        <f>G350+G351+G352+G353+G354+G355+G356+G357+G358+G359+G360+G361+G362+G363+G364+G365</f>
        <v>801.6</v>
      </c>
      <c r="H348" s="15">
        <v>109.8</v>
      </c>
    </row>
    <row r="349" spans="1:8" ht="15">
      <c r="A349" s="14"/>
      <c r="B349" s="14" t="s">
        <v>44</v>
      </c>
      <c r="C349" s="14"/>
      <c r="D349" s="14"/>
      <c r="E349" s="14"/>
      <c r="F349" s="14"/>
      <c r="G349" s="14"/>
      <c r="H349" s="14"/>
    </row>
    <row r="350" spans="1:8" ht="15">
      <c r="A350" s="14" t="s">
        <v>57</v>
      </c>
      <c r="B350" s="14" t="s">
        <v>73</v>
      </c>
      <c r="C350" s="14"/>
      <c r="D350" s="14">
        <v>133.2</v>
      </c>
      <c r="E350" s="14"/>
      <c r="F350" s="14">
        <v>96.1</v>
      </c>
      <c r="G350" s="14"/>
      <c r="H350" s="14"/>
    </row>
    <row r="351" spans="1:8" ht="15">
      <c r="A351" s="14" t="s">
        <v>58</v>
      </c>
      <c r="B351" s="14" t="s">
        <v>161</v>
      </c>
      <c r="C351" s="14"/>
      <c r="D351" s="14"/>
      <c r="E351" s="14">
        <v>40</v>
      </c>
      <c r="F351" s="14"/>
      <c r="G351" s="14"/>
      <c r="H351" s="14"/>
    </row>
    <row r="352" spans="1:8" ht="15">
      <c r="A352" s="14" t="s">
        <v>59</v>
      </c>
      <c r="B352" s="14" t="s">
        <v>155</v>
      </c>
      <c r="C352" s="14"/>
      <c r="D352" s="14"/>
      <c r="E352" s="14">
        <v>112</v>
      </c>
      <c r="F352" s="14"/>
      <c r="G352" s="14">
        <v>268.6</v>
      </c>
      <c r="H352" s="14"/>
    </row>
    <row r="353" spans="1:8" ht="15">
      <c r="A353" s="14" t="s">
        <v>60</v>
      </c>
      <c r="B353" s="14" t="s">
        <v>271</v>
      </c>
      <c r="C353" s="14"/>
      <c r="D353" s="14"/>
      <c r="E353" s="14"/>
      <c r="F353" s="14"/>
      <c r="G353" s="14">
        <v>33</v>
      </c>
      <c r="H353" s="14"/>
    </row>
    <row r="354" spans="1:8" ht="15">
      <c r="A354" s="14" t="s">
        <v>85</v>
      </c>
      <c r="B354" s="14" t="s">
        <v>162</v>
      </c>
      <c r="C354" s="14"/>
      <c r="D354" s="14"/>
      <c r="E354" s="14">
        <v>110</v>
      </c>
      <c r="F354" s="14"/>
      <c r="G354" s="14"/>
      <c r="H354" s="14"/>
    </row>
    <row r="355" spans="1:8" ht="15">
      <c r="A355" s="14" t="s">
        <v>87</v>
      </c>
      <c r="B355" s="14" t="s">
        <v>80</v>
      </c>
      <c r="C355" s="14"/>
      <c r="D355" s="14"/>
      <c r="E355" s="14"/>
      <c r="F355" s="14"/>
      <c r="G355" s="14">
        <v>200</v>
      </c>
      <c r="H355" s="14"/>
    </row>
    <row r="356" spans="1:8" ht="15">
      <c r="A356" s="14" t="s">
        <v>145</v>
      </c>
      <c r="B356" s="14" t="s">
        <v>163</v>
      </c>
      <c r="C356" s="14"/>
      <c r="D356" s="14"/>
      <c r="E356" s="14"/>
      <c r="F356" s="14">
        <f>13.1+17.5</f>
        <v>30.6</v>
      </c>
      <c r="G356" s="14"/>
      <c r="H356" s="14"/>
    </row>
    <row r="357" spans="1:8" ht="15">
      <c r="A357" s="14" t="s">
        <v>146</v>
      </c>
      <c r="B357" s="14" t="s">
        <v>159</v>
      </c>
      <c r="C357" s="14"/>
      <c r="D357" s="14">
        <v>158.7</v>
      </c>
      <c r="E357" s="14"/>
      <c r="F357" s="14"/>
      <c r="G357" s="14"/>
      <c r="H357" s="14"/>
    </row>
    <row r="358" spans="1:8" ht="15">
      <c r="A358" s="14" t="s">
        <v>147</v>
      </c>
      <c r="B358" s="14" t="s">
        <v>139</v>
      </c>
      <c r="C358" s="14"/>
      <c r="D358" s="14"/>
      <c r="E358" s="14">
        <v>121</v>
      </c>
      <c r="F358" s="14">
        <f>37.4+17.7</f>
        <v>55.099999999999994</v>
      </c>
      <c r="G358" s="14"/>
      <c r="H358" s="14"/>
    </row>
    <row r="359" spans="1:8" ht="15">
      <c r="A359" s="14" t="s">
        <v>148</v>
      </c>
      <c r="B359" s="14" t="s">
        <v>164</v>
      </c>
      <c r="C359" s="14"/>
      <c r="D359" s="14"/>
      <c r="E359" s="14"/>
      <c r="F359" s="14">
        <v>9.4</v>
      </c>
      <c r="G359" s="14"/>
      <c r="H359" s="14"/>
    </row>
    <row r="360" spans="1:8" ht="15">
      <c r="A360" s="14" t="s">
        <v>180</v>
      </c>
      <c r="B360" s="14" t="s">
        <v>272</v>
      </c>
      <c r="C360" s="14"/>
      <c r="D360" s="14"/>
      <c r="E360" s="14"/>
      <c r="F360" s="14"/>
      <c r="G360" s="14">
        <v>300</v>
      </c>
      <c r="H360" s="14"/>
    </row>
    <row r="361" spans="1:8" ht="15">
      <c r="A361" s="14" t="s">
        <v>149</v>
      </c>
      <c r="B361" s="14" t="s">
        <v>142</v>
      </c>
      <c r="C361" s="14"/>
      <c r="D361" s="14"/>
      <c r="E361" s="14"/>
      <c r="F361" s="14"/>
      <c r="G361" s="14"/>
      <c r="H361" s="14"/>
    </row>
    <row r="362" spans="1:8" ht="15">
      <c r="A362" s="14" t="s">
        <v>150</v>
      </c>
      <c r="B362" s="14" t="s">
        <v>80</v>
      </c>
      <c r="C362" s="14"/>
      <c r="D362" s="14">
        <v>121.8</v>
      </c>
      <c r="E362" s="14">
        <v>300</v>
      </c>
      <c r="F362" s="14">
        <v>69.6</v>
      </c>
      <c r="G362" s="14"/>
      <c r="H362" s="14"/>
    </row>
    <row r="363" spans="1:8" ht="15">
      <c r="A363" s="14" t="s">
        <v>151</v>
      </c>
      <c r="B363" s="14" t="s">
        <v>144</v>
      </c>
      <c r="C363" s="14"/>
      <c r="D363" s="14"/>
      <c r="E363" s="14">
        <v>45.7</v>
      </c>
      <c r="F363" s="14"/>
      <c r="G363" s="14"/>
      <c r="H363" s="14"/>
    </row>
    <row r="364" spans="1:8" ht="15">
      <c r="A364" s="14" t="s">
        <v>152</v>
      </c>
      <c r="B364" s="14" t="s">
        <v>143</v>
      </c>
      <c r="C364" s="14"/>
      <c r="D364" s="14"/>
      <c r="E364" s="14"/>
      <c r="F364" s="14">
        <v>20</v>
      </c>
      <c r="G364" s="14"/>
      <c r="H364" s="14"/>
    </row>
    <row r="365" spans="1:8" ht="15">
      <c r="A365" s="14" t="s">
        <v>153</v>
      </c>
      <c r="B365" s="14" t="s">
        <v>179</v>
      </c>
      <c r="C365" s="14"/>
      <c r="D365" s="14">
        <v>315</v>
      </c>
      <c r="E365" s="14"/>
      <c r="F365" s="14">
        <v>447.9</v>
      </c>
      <c r="G365" s="14"/>
      <c r="H365" s="14"/>
    </row>
    <row r="366" spans="1:8" ht="15">
      <c r="A366" s="13"/>
      <c r="B366" s="13" t="s">
        <v>61</v>
      </c>
      <c r="C366" s="13"/>
      <c r="D366" s="13"/>
      <c r="E366" s="13"/>
      <c r="F366" s="13"/>
      <c r="G366" s="13"/>
      <c r="H366" s="14"/>
    </row>
    <row r="367" spans="1:8" ht="15">
      <c r="A367" s="13"/>
      <c r="B367" s="13" t="s">
        <v>62</v>
      </c>
      <c r="C367" s="15">
        <f>C329+C348</f>
        <v>2560.3</v>
      </c>
      <c r="D367" s="15">
        <f>D329+D348</f>
        <v>3289</v>
      </c>
      <c r="E367" s="15">
        <f>E329+E348</f>
        <v>3619</v>
      </c>
      <c r="F367" s="15">
        <f>F329+F348</f>
        <v>3740.2</v>
      </c>
      <c r="G367" s="15">
        <f>G329+G348</f>
        <v>3974.6000000000004</v>
      </c>
      <c r="H367" s="14"/>
    </row>
    <row r="368" spans="1:8" ht="15">
      <c r="A368" s="13" t="s">
        <v>64</v>
      </c>
      <c r="B368" s="14" t="s">
        <v>63</v>
      </c>
      <c r="C368" s="14">
        <v>8.2</v>
      </c>
      <c r="D368" s="14">
        <v>8.2</v>
      </c>
      <c r="E368" s="14">
        <v>500</v>
      </c>
      <c r="F368" s="14">
        <v>502</v>
      </c>
      <c r="G368" s="14">
        <v>0</v>
      </c>
      <c r="H368" s="14"/>
    </row>
    <row r="369" spans="1:8" ht="14.25">
      <c r="A369" s="13"/>
      <c r="B369" s="13" t="s">
        <v>65</v>
      </c>
      <c r="C369" s="15">
        <f>C367+C368</f>
        <v>2568.5</v>
      </c>
      <c r="D369" s="15">
        <f>D367+D368</f>
        <v>3297.2</v>
      </c>
      <c r="E369" s="15">
        <f>E367+E368</f>
        <v>4119</v>
      </c>
      <c r="F369" s="15">
        <f>F367+F368</f>
        <v>4242.2</v>
      </c>
      <c r="G369" s="15">
        <f>G367+G368</f>
        <v>3974.6000000000004</v>
      </c>
      <c r="H369" s="13"/>
    </row>
    <row r="370" spans="1:8" ht="14.25">
      <c r="A370" s="13"/>
      <c r="B370" s="13" t="s">
        <v>66</v>
      </c>
      <c r="C370" s="15">
        <f>C372+C374+C375</f>
        <v>2568.5</v>
      </c>
      <c r="D370" s="15">
        <f>D372+D374+D375</f>
        <v>3297.2</v>
      </c>
      <c r="E370" s="15">
        <f>E372+E374+E375</f>
        <v>4119</v>
      </c>
      <c r="F370" s="15">
        <f>F372+F374+F375</f>
        <v>4242.2</v>
      </c>
      <c r="G370" s="15">
        <f>G372+G374+G375</f>
        <v>3974.6000000000004</v>
      </c>
      <c r="H370" s="13"/>
    </row>
    <row r="371" spans="1:8" ht="15">
      <c r="A371" s="14"/>
      <c r="B371" s="14" t="s">
        <v>44</v>
      </c>
      <c r="C371" s="14"/>
      <c r="D371" s="14"/>
      <c r="E371" s="14"/>
      <c r="F371" s="14"/>
      <c r="G371" s="14"/>
      <c r="H371" s="14"/>
    </row>
    <row r="372" spans="1:8" ht="15">
      <c r="A372" s="14"/>
      <c r="B372" s="14" t="s">
        <v>67</v>
      </c>
      <c r="C372" s="16">
        <f>C329+C348</f>
        <v>2560.3</v>
      </c>
      <c r="D372" s="16">
        <f>D329+D348</f>
        <v>3289</v>
      </c>
      <c r="E372" s="16">
        <f>E329+E348</f>
        <v>3619</v>
      </c>
      <c r="F372" s="16">
        <f>F329+F348</f>
        <v>3740.2</v>
      </c>
      <c r="G372" s="16">
        <f>G329+G348</f>
        <v>3974.6000000000004</v>
      </c>
      <c r="H372" s="13"/>
    </row>
    <row r="373" spans="1:8" ht="15">
      <c r="A373" s="17"/>
      <c r="B373" s="18" t="s">
        <v>16</v>
      </c>
      <c r="C373" s="13"/>
      <c r="D373" s="13"/>
      <c r="E373" s="13"/>
      <c r="F373" s="13"/>
      <c r="G373" s="13"/>
      <c r="H373" s="13"/>
    </row>
    <row r="374" spans="1:8" ht="15">
      <c r="A374" s="17"/>
      <c r="B374" s="18" t="s">
        <v>68</v>
      </c>
      <c r="C374" s="17">
        <v>8.2</v>
      </c>
      <c r="D374" s="17">
        <v>8.2</v>
      </c>
      <c r="E374" s="17">
        <v>500</v>
      </c>
      <c r="F374" s="28">
        <v>502</v>
      </c>
      <c r="G374" s="17">
        <v>0</v>
      </c>
      <c r="H374" s="17"/>
    </row>
    <row r="375" spans="1:8" ht="15">
      <c r="A375" s="17"/>
      <c r="B375" s="18" t="s">
        <v>69</v>
      </c>
      <c r="C375" s="13"/>
      <c r="D375" s="13"/>
      <c r="E375" s="13"/>
      <c r="F375" s="13"/>
      <c r="G375" s="13"/>
      <c r="H375" s="13"/>
    </row>
    <row r="376" spans="1:8" ht="15">
      <c r="A376" s="17"/>
      <c r="B376" s="18" t="s">
        <v>70</v>
      </c>
      <c r="C376" s="13"/>
      <c r="D376" s="13"/>
      <c r="E376" s="13"/>
      <c r="F376" s="13"/>
      <c r="G376" s="13"/>
      <c r="H376" s="13"/>
    </row>
    <row r="377" spans="1:8" ht="12.75">
      <c r="A377" s="19"/>
      <c r="B377" s="19" t="s">
        <v>71</v>
      </c>
      <c r="C377" s="27">
        <f>C370-C369</f>
        <v>0</v>
      </c>
      <c r="D377" s="27">
        <f>D370-D369</f>
        <v>0</v>
      </c>
      <c r="E377" s="27">
        <f>E370-E369</f>
        <v>0</v>
      </c>
      <c r="F377" s="27">
        <f>F370-F369</f>
        <v>0</v>
      </c>
      <c r="G377" s="27">
        <f>G370-G369</f>
        <v>0</v>
      </c>
      <c r="H377" s="19"/>
    </row>
    <row r="378" spans="2:5" s="1" customFormat="1" ht="15">
      <c r="B378" s="1" t="s">
        <v>134</v>
      </c>
      <c r="E378" s="1" t="s">
        <v>135</v>
      </c>
    </row>
    <row r="379" s="1" customFormat="1" ht="15"/>
    <row r="380" spans="2:5" s="1" customFormat="1" ht="15">
      <c r="B380" s="1" t="s">
        <v>170</v>
      </c>
      <c r="E380" s="1" t="s">
        <v>171</v>
      </c>
    </row>
    <row r="381" s="1" customFormat="1" ht="15"/>
    <row r="382" spans="2:5" s="1" customFormat="1" ht="15">
      <c r="B382" s="1" t="s">
        <v>136</v>
      </c>
      <c r="E382" s="1" t="s">
        <v>137</v>
      </c>
    </row>
    <row r="384" spans="1:8" ht="14.25">
      <c r="A384" s="139" t="s">
        <v>26</v>
      </c>
      <c r="B384" s="139"/>
      <c r="C384" s="139"/>
      <c r="D384" s="139"/>
      <c r="E384" s="139"/>
      <c r="F384" s="139"/>
      <c r="G384" s="139"/>
      <c r="H384" s="139"/>
    </row>
    <row r="385" spans="1:8" ht="14.25">
      <c r="A385" s="139" t="s">
        <v>88</v>
      </c>
      <c r="B385" s="139"/>
      <c r="C385" s="139"/>
      <c r="D385" s="139"/>
      <c r="E385" s="139"/>
      <c r="F385" s="139"/>
      <c r="G385" s="139"/>
      <c r="H385" s="139"/>
    </row>
    <row r="386" spans="1:8" ht="15">
      <c r="A386" s="1"/>
      <c r="B386" s="1"/>
      <c r="C386" s="1"/>
      <c r="D386" s="1"/>
      <c r="E386" s="1"/>
      <c r="F386" s="1"/>
      <c r="G386" s="1"/>
      <c r="H386" s="12" t="s">
        <v>79</v>
      </c>
    </row>
    <row r="387" spans="1:8" ht="15">
      <c r="A387" s="2" t="s">
        <v>1</v>
      </c>
      <c r="B387" s="2" t="s">
        <v>27</v>
      </c>
      <c r="C387" s="2" t="s">
        <v>28</v>
      </c>
      <c r="D387" s="2" t="s">
        <v>31</v>
      </c>
      <c r="E387" s="2" t="s">
        <v>28</v>
      </c>
      <c r="F387" s="2" t="s">
        <v>34</v>
      </c>
      <c r="G387" s="2" t="s">
        <v>36</v>
      </c>
      <c r="H387" s="2" t="s">
        <v>40</v>
      </c>
    </row>
    <row r="388" spans="1:8" ht="15">
      <c r="A388" s="5"/>
      <c r="B388" s="5"/>
      <c r="C388" s="3" t="s">
        <v>29</v>
      </c>
      <c r="D388" s="3" t="s">
        <v>32</v>
      </c>
      <c r="E388" s="3" t="s">
        <v>29</v>
      </c>
      <c r="F388" s="3" t="s">
        <v>32</v>
      </c>
      <c r="G388" s="3" t="s">
        <v>37</v>
      </c>
      <c r="H388" s="3" t="s">
        <v>39</v>
      </c>
    </row>
    <row r="389" spans="1:8" ht="15">
      <c r="A389" s="5"/>
      <c r="B389" s="5"/>
      <c r="C389" s="3" t="s">
        <v>30</v>
      </c>
      <c r="D389" s="5" t="s">
        <v>33</v>
      </c>
      <c r="E389" s="3" t="s">
        <v>20</v>
      </c>
      <c r="F389" s="3" t="s">
        <v>35</v>
      </c>
      <c r="G389" s="3" t="s">
        <v>38</v>
      </c>
      <c r="H389" s="5"/>
    </row>
    <row r="390" spans="1:8" ht="15">
      <c r="A390" s="6"/>
      <c r="B390" s="6"/>
      <c r="C390" s="6"/>
      <c r="D390" s="5"/>
      <c r="E390" s="6"/>
      <c r="F390" s="6"/>
      <c r="G390" s="6"/>
      <c r="H390" s="6"/>
    </row>
    <row r="391" spans="1:8" ht="15">
      <c r="A391" s="13"/>
      <c r="B391" s="13" t="s">
        <v>42</v>
      </c>
      <c r="C391" s="13"/>
      <c r="D391" s="13"/>
      <c r="E391" s="13"/>
      <c r="F391" s="13"/>
      <c r="G391" s="13"/>
      <c r="H391" s="14"/>
    </row>
    <row r="392" spans="1:8" ht="14.25">
      <c r="A392" s="13" t="s">
        <v>47</v>
      </c>
      <c r="B392" s="13" t="s">
        <v>43</v>
      </c>
      <c r="C392" s="15">
        <f>C394+C395+C398+C399+C400+C401+C402+C403+C404+C405+C406+C407+C408+C409+C410</f>
        <v>2002.6000000000001</v>
      </c>
      <c r="D392" s="15">
        <f>D394+D395+D398+D399+D400+D401+D402+D403+D404+D405+D406+D407+D408+D409+D410</f>
        <v>2002.6000000000004</v>
      </c>
      <c r="E392" s="15">
        <f>E394+E395+E398+E399+E400+E401+E402+E403+E404+E405+E406+E407+E408+E409+E410</f>
        <v>2252.9</v>
      </c>
      <c r="F392" s="15">
        <f>F394+F395+F398+F399+F400+F401+F402+F403+F404+F405+F406+F407+F408+F409+F410</f>
        <v>2252.9</v>
      </c>
      <c r="G392" s="15">
        <f>G394+G395+G398+G399+G400+G401+G402+G403+G404+G405+G406+G407+G408+G409+G410</f>
        <v>2472.6</v>
      </c>
      <c r="H392" s="15">
        <f>G392/E392*100</f>
        <v>109.75187536064628</v>
      </c>
    </row>
    <row r="393" spans="1:8" ht="15">
      <c r="A393" s="13"/>
      <c r="B393" s="14" t="s">
        <v>44</v>
      </c>
      <c r="C393" s="15"/>
      <c r="D393" s="15"/>
      <c r="E393" s="15"/>
      <c r="F393" s="15"/>
      <c r="G393" s="13"/>
      <c r="H393" s="14"/>
    </row>
    <row r="394" spans="1:8" ht="15">
      <c r="A394" s="14" t="s">
        <v>48</v>
      </c>
      <c r="B394" s="14" t="s">
        <v>111</v>
      </c>
      <c r="C394" s="14">
        <v>0</v>
      </c>
      <c r="D394" s="14">
        <v>0</v>
      </c>
      <c r="E394" s="14">
        <v>0</v>
      </c>
      <c r="F394" s="14">
        <v>0</v>
      </c>
      <c r="G394" s="14">
        <v>103.5</v>
      </c>
      <c r="H394" s="16"/>
    </row>
    <row r="395" spans="1:8" ht="15">
      <c r="A395" s="14" t="s">
        <v>49</v>
      </c>
      <c r="B395" s="14" t="s">
        <v>96</v>
      </c>
      <c r="C395" s="14">
        <v>245.2</v>
      </c>
      <c r="D395" s="14">
        <f>D396+D397</f>
        <v>242.1</v>
      </c>
      <c r="E395" s="14">
        <f>E396+E397</f>
        <v>275.9</v>
      </c>
      <c r="F395" s="14">
        <f>F396+F397</f>
        <v>275.9</v>
      </c>
      <c r="G395" s="14">
        <f>G396+G397</f>
        <v>316.6</v>
      </c>
      <c r="H395" s="16">
        <f aca="true" t="shared" si="6" ref="H395:H410">G395/E395*100</f>
        <v>114.75172163827476</v>
      </c>
    </row>
    <row r="396" spans="1:8" ht="15">
      <c r="A396" s="14"/>
      <c r="B396" s="14" t="s">
        <v>97</v>
      </c>
      <c r="C396" s="14">
        <v>167.6</v>
      </c>
      <c r="D396" s="16">
        <v>165.6</v>
      </c>
      <c r="E396" s="14">
        <v>188.6</v>
      </c>
      <c r="F396" s="16">
        <v>188.6</v>
      </c>
      <c r="G396" s="14">
        <v>214.8</v>
      </c>
      <c r="H396" s="16">
        <f t="shared" si="6"/>
        <v>113.89183457051963</v>
      </c>
    </row>
    <row r="397" spans="1:8" ht="15">
      <c r="A397" s="14"/>
      <c r="B397" s="14" t="s">
        <v>98</v>
      </c>
      <c r="C397" s="14">
        <v>77.6</v>
      </c>
      <c r="D397" s="16">
        <v>76.5</v>
      </c>
      <c r="E397" s="14">
        <v>87.3</v>
      </c>
      <c r="F397" s="14">
        <v>87.3</v>
      </c>
      <c r="G397" s="14">
        <v>101.8</v>
      </c>
      <c r="H397" s="16">
        <f t="shared" si="6"/>
        <v>116.6093928980527</v>
      </c>
    </row>
    <row r="398" spans="1:8" ht="15">
      <c r="A398" s="14" t="s">
        <v>50</v>
      </c>
      <c r="B398" s="14" t="s">
        <v>99</v>
      </c>
      <c r="C398" s="14">
        <v>23.9</v>
      </c>
      <c r="D398" s="16">
        <v>23.9</v>
      </c>
      <c r="E398" s="14">
        <v>26.9</v>
      </c>
      <c r="F398" s="16">
        <v>26.9</v>
      </c>
      <c r="G398" s="14">
        <v>30.7</v>
      </c>
      <c r="H398" s="16">
        <f t="shared" si="6"/>
        <v>114.12639405204462</v>
      </c>
    </row>
    <row r="399" spans="1:8" ht="15">
      <c r="A399" s="14" t="s">
        <v>51</v>
      </c>
      <c r="B399" s="14" t="s">
        <v>100</v>
      </c>
      <c r="C399" s="14">
        <v>53.6</v>
      </c>
      <c r="D399" s="16">
        <v>53.6</v>
      </c>
      <c r="E399" s="14">
        <v>60.3</v>
      </c>
      <c r="F399" s="14">
        <v>60.3</v>
      </c>
      <c r="G399" s="14">
        <v>58.3</v>
      </c>
      <c r="H399" s="16">
        <f t="shared" si="6"/>
        <v>96.6832504145937</v>
      </c>
    </row>
    <row r="400" spans="1:8" ht="15">
      <c r="A400" s="14" t="s">
        <v>52</v>
      </c>
      <c r="B400" s="14" t="s">
        <v>101</v>
      </c>
      <c r="C400" s="14">
        <v>22.8</v>
      </c>
      <c r="D400" s="16">
        <v>22.8</v>
      </c>
      <c r="E400" s="14">
        <v>25.6</v>
      </c>
      <c r="F400" s="16">
        <v>25.6</v>
      </c>
      <c r="G400" s="14">
        <v>24.8</v>
      </c>
      <c r="H400" s="16">
        <f t="shared" si="6"/>
        <v>96.875</v>
      </c>
    </row>
    <row r="401" spans="1:8" ht="15">
      <c r="A401" s="14" t="s">
        <v>53</v>
      </c>
      <c r="B401" s="14" t="s">
        <v>45</v>
      </c>
      <c r="C401" s="14">
        <v>198.9</v>
      </c>
      <c r="D401" s="16">
        <v>197</v>
      </c>
      <c r="E401" s="14">
        <v>223.8</v>
      </c>
      <c r="F401" s="16">
        <v>222</v>
      </c>
      <c r="G401" s="14">
        <v>216.7</v>
      </c>
      <c r="H401" s="16">
        <f t="shared" si="6"/>
        <v>96.82752457551385</v>
      </c>
    </row>
    <row r="402" spans="1:8" ht="15">
      <c r="A402" s="14" t="s">
        <v>54</v>
      </c>
      <c r="B402" s="14" t="s">
        <v>102</v>
      </c>
      <c r="C402" s="14">
        <v>232</v>
      </c>
      <c r="D402" s="16">
        <v>232</v>
      </c>
      <c r="E402" s="14">
        <v>261</v>
      </c>
      <c r="F402" s="16">
        <v>261</v>
      </c>
      <c r="G402" s="14">
        <v>252.7</v>
      </c>
      <c r="H402" s="16">
        <f t="shared" si="6"/>
        <v>96.8199233716475</v>
      </c>
    </row>
    <row r="403" spans="1:8" ht="15">
      <c r="A403" s="14" t="s">
        <v>72</v>
      </c>
      <c r="B403" s="14" t="s">
        <v>103</v>
      </c>
      <c r="C403" s="14">
        <v>75.5</v>
      </c>
      <c r="D403" s="16">
        <v>75.5</v>
      </c>
      <c r="E403" s="14">
        <v>84.9</v>
      </c>
      <c r="F403" s="16">
        <v>83</v>
      </c>
      <c r="G403" s="14">
        <v>82.3</v>
      </c>
      <c r="H403" s="16">
        <f t="shared" si="6"/>
        <v>96.93757361601884</v>
      </c>
    </row>
    <row r="404" spans="1:8" ht="15">
      <c r="A404" s="14" t="s">
        <v>90</v>
      </c>
      <c r="B404" s="14" t="s">
        <v>46</v>
      </c>
      <c r="C404" s="14">
        <v>409.3</v>
      </c>
      <c r="D404" s="16">
        <v>408</v>
      </c>
      <c r="E404" s="14">
        <v>460.5</v>
      </c>
      <c r="F404" s="16">
        <v>460.5</v>
      </c>
      <c r="G404" s="14">
        <v>490.6</v>
      </c>
      <c r="H404" s="16">
        <f t="shared" si="6"/>
        <v>106.53637350705756</v>
      </c>
    </row>
    <row r="405" spans="1:8" ht="15">
      <c r="A405" s="14" t="s">
        <v>92</v>
      </c>
      <c r="B405" s="14" t="s">
        <v>93</v>
      </c>
      <c r="C405" s="14">
        <v>75.6</v>
      </c>
      <c r="D405" s="16">
        <v>57.7</v>
      </c>
      <c r="E405" s="14">
        <v>85</v>
      </c>
      <c r="F405" s="16">
        <v>52.4</v>
      </c>
      <c r="G405" s="14">
        <v>120.5</v>
      </c>
      <c r="H405" s="16">
        <f t="shared" si="6"/>
        <v>141.76470588235296</v>
      </c>
    </row>
    <row r="406" spans="1:8" ht="15">
      <c r="A406" s="14" t="s">
        <v>94</v>
      </c>
      <c r="B406" s="14" t="s">
        <v>95</v>
      </c>
      <c r="C406" s="14">
        <v>20.4</v>
      </c>
      <c r="D406" s="16">
        <v>26.5</v>
      </c>
      <c r="E406" s="14">
        <f>5.9+17.1</f>
        <v>23</v>
      </c>
      <c r="F406" s="16">
        <v>29</v>
      </c>
      <c r="G406" s="14">
        <v>26.4</v>
      </c>
      <c r="H406" s="16">
        <f t="shared" si="6"/>
        <v>114.78260869565217</v>
      </c>
    </row>
    <row r="407" spans="1:8" ht="15">
      <c r="A407" s="14" t="s">
        <v>104</v>
      </c>
      <c r="B407" s="14" t="s">
        <v>91</v>
      </c>
      <c r="C407" s="14">
        <v>146.8</v>
      </c>
      <c r="D407" s="16">
        <v>143.2</v>
      </c>
      <c r="E407" s="14">
        <f>360.9+3.6-E408</f>
        <v>165.2</v>
      </c>
      <c r="F407" s="16">
        <v>165.2</v>
      </c>
      <c r="G407" s="14">
        <v>164.2</v>
      </c>
      <c r="H407" s="16">
        <f t="shared" si="6"/>
        <v>99.39467312348668</v>
      </c>
    </row>
    <row r="408" spans="1:8" ht="15">
      <c r="A408" s="14" t="s">
        <v>106</v>
      </c>
      <c r="B408" s="14" t="s">
        <v>105</v>
      </c>
      <c r="C408" s="14">
        <v>177.2</v>
      </c>
      <c r="D408" s="16">
        <v>177.2</v>
      </c>
      <c r="E408" s="14">
        <v>199.3</v>
      </c>
      <c r="F408" s="16">
        <v>199.3</v>
      </c>
      <c r="G408" s="14">
        <v>199.3</v>
      </c>
      <c r="H408" s="16">
        <f t="shared" si="6"/>
        <v>100</v>
      </c>
    </row>
    <row r="409" spans="1:8" ht="15">
      <c r="A409" s="14" t="s">
        <v>109</v>
      </c>
      <c r="B409" s="14" t="s">
        <v>108</v>
      </c>
      <c r="C409" s="14">
        <v>207.5</v>
      </c>
      <c r="D409" s="16">
        <v>229.2</v>
      </c>
      <c r="E409" s="14">
        <v>233.4</v>
      </c>
      <c r="F409" s="16">
        <v>263.7</v>
      </c>
      <c r="G409" s="14">
        <v>265.4</v>
      </c>
      <c r="H409" s="16">
        <f t="shared" si="6"/>
        <v>113.71036846615252</v>
      </c>
    </row>
    <row r="410" spans="1:8" ht="15">
      <c r="A410" s="14" t="s">
        <v>110</v>
      </c>
      <c r="B410" s="14" t="s">
        <v>107</v>
      </c>
      <c r="C410" s="14">
        <v>113.9</v>
      </c>
      <c r="D410" s="16">
        <v>113.9</v>
      </c>
      <c r="E410" s="14">
        <v>128.1</v>
      </c>
      <c r="F410" s="16">
        <v>128.1</v>
      </c>
      <c r="G410" s="14">
        <v>120.6</v>
      </c>
      <c r="H410" s="16">
        <f t="shared" si="6"/>
        <v>94.14519906323186</v>
      </c>
    </row>
    <row r="411" spans="1:8" ht="14.25">
      <c r="A411" s="13" t="s">
        <v>55</v>
      </c>
      <c r="B411" s="13" t="s">
        <v>56</v>
      </c>
      <c r="C411" s="13">
        <v>579</v>
      </c>
      <c r="D411" s="13">
        <f>D413+D414+D415+D416+D417+D418+D419+D420+D421+D422+D423+D424+D425+D426+D427+D428</f>
        <v>579</v>
      </c>
      <c r="E411" s="13">
        <f>E413+E414+E415+E416+E417+E418+E419+E420+E421+E422+E423+E424+E425+E426+E427+E428</f>
        <v>579</v>
      </c>
      <c r="F411" s="13">
        <f>F413+F414+F415+F416+F417+F418+F419+F420+F421+F422+F423+F424+F425+F426+F427+F428</f>
        <v>579</v>
      </c>
      <c r="G411" s="13">
        <f>G413+G414+G415+G416+G417+G418+G419+G420+G421+G422+G423+G424+G425+G426+G427+G428</f>
        <v>637</v>
      </c>
      <c r="H411" s="15">
        <v>109.8</v>
      </c>
    </row>
    <row r="412" spans="1:8" ht="15">
      <c r="A412" s="14"/>
      <c r="B412" s="14" t="s">
        <v>44</v>
      </c>
      <c r="C412" s="14"/>
      <c r="D412" s="14"/>
      <c r="E412" s="14"/>
      <c r="F412" s="14"/>
      <c r="G412" s="14"/>
      <c r="H412" s="14"/>
    </row>
    <row r="413" spans="1:8" ht="15">
      <c r="A413" s="14" t="s">
        <v>57</v>
      </c>
      <c r="B413" s="14" t="s">
        <v>178</v>
      </c>
      <c r="C413" s="14"/>
      <c r="D413" s="14"/>
      <c r="E413" s="14"/>
      <c r="F413" s="14"/>
      <c r="G413" s="14">
        <v>97.1</v>
      </c>
      <c r="H413" s="14"/>
    </row>
    <row r="414" spans="1:8" ht="15">
      <c r="A414" s="14" t="s">
        <v>58</v>
      </c>
      <c r="B414" s="14" t="s">
        <v>74</v>
      </c>
      <c r="C414" s="14"/>
      <c r="D414" s="14">
        <f>6.6+6.6</f>
        <v>13.2</v>
      </c>
      <c r="E414" s="14">
        <v>85</v>
      </c>
      <c r="F414" s="14">
        <f>5.8+7.3</f>
        <v>13.1</v>
      </c>
      <c r="G414" s="14">
        <v>49.4</v>
      </c>
      <c r="H414" s="14"/>
    </row>
    <row r="415" spans="1:8" ht="15">
      <c r="A415" s="14" t="s">
        <v>59</v>
      </c>
      <c r="B415" s="14" t="s">
        <v>155</v>
      </c>
      <c r="C415" s="14"/>
      <c r="D415" s="14">
        <f>18.8+27</f>
        <v>45.8</v>
      </c>
      <c r="E415" s="14"/>
      <c r="F415" s="14"/>
      <c r="G415" s="14">
        <v>146.2</v>
      </c>
      <c r="H415" s="14"/>
    </row>
    <row r="416" spans="1:8" ht="15">
      <c r="A416" s="14" t="s">
        <v>60</v>
      </c>
      <c r="B416" s="14" t="s">
        <v>76</v>
      </c>
      <c r="C416" s="14"/>
      <c r="D416" s="14">
        <f>45.7+30.2</f>
        <v>75.9</v>
      </c>
      <c r="E416" s="14"/>
      <c r="F416" s="14"/>
      <c r="G416" s="14"/>
      <c r="H416" s="14"/>
    </row>
    <row r="417" spans="1:8" ht="15">
      <c r="A417" s="14" t="s">
        <v>85</v>
      </c>
      <c r="B417" s="14" t="s">
        <v>165</v>
      </c>
      <c r="C417" s="14"/>
      <c r="D417" s="14"/>
      <c r="E417" s="14"/>
      <c r="F417" s="14">
        <v>29.4</v>
      </c>
      <c r="G417" s="14"/>
      <c r="H417" s="14"/>
    </row>
    <row r="418" spans="1:8" ht="15">
      <c r="A418" s="14" t="s">
        <v>87</v>
      </c>
      <c r="B418" s="14" t="s">
        <v>160</v>
      </c>
      <c r="C418" s="14"/>
      <c r="D418" s="14">
        <v>75.8</v>
      </c>
      <c r="E418" s="14"/>
      <c r="F418" s="14"/>
      <c r="G418" s="14"/>
      <c r="H418" s="14"/>
    </row>
    <row r="419" spans="1:8" ht="15">
      <c r="A419" s="14" t="s">
        <v>145</v>
      </c>
      <c r="B419" s="14" t="s">
        <v>89</v>
      </c>
      <c r="C419" s="14"/>
      <c r="D419" s="14"/>
      <c r="E419" s="14">
        <v>68.3</v>
      </c>
      <c r="F419" s="14"/>
      <c r="G419" s="14"/>
      <c r="H419" s="14"/>
    </row>
    <row r="420" spans="1:8" ht="15">
      <c r="A420" s="14" t="s">
        <v>146</v>
      </c>
      <c r="B420" s="14" t="s">
        <v>159</v>
      </c>
      <c r="C420" s="14"/>
      <c r="D420" s="14">
        <v>41.2</v>
      </c>
      <c r="E420" s="14">
        <v>115</v>
      </c>
      <c r="F420" s="14"/>
      <c r="G420" s="14"/>
      <c r="H420" s="14"/>
    </row>
    <row r="421" spans="1:8" ht="15">
      <c r="A421" s="14" t="s">
        <v>147</v>
      </c>
      <c r="B421" s="14" t="s">
        <v>139</v>
      </c>
      <c r="C421" s="14"/>
      <c r="D421" s="14"/>
      <c r="E421" s="14">
        <v>34.2</v>
      </c>
      <c r="F421" s="14">
        <f>12.8+6.4</f>
        <v>19.200000000000003</v>
      </c>
      <c r="G421" s="14"/>
      <c r="H421" s="14"/>
    </row>
    <row r="422" spans="1:8" ht="15">
      <c r="A422" s="14" t="s">
        <v>148</v>
      </c>
      <c r="B422" s="14" t="s">
        <v>177</v>
      </c>
      <c r="C422" s="14"/>
      <c r="D422" s="14"/>
      <c r="E422" s="14"/>
      <c r="F422" s="14"/>
      <c r="G422" s="14">
        <v>42.1</v>
      </c>
      <c r="H422" s="14"/>
    </row>
    <row r="423" spans="1:8" ht="15">
      <c r="A423" s="14" t="s">
        <v>180</v>
      </c>
      <c r="B423" s="14" t="s">
        <v>166</v>
      </c>
      <c r="C423" s="14"/>
      <c r="D423" s="14"/>
      <c r="E423" s="14"/>
      <c r="F423" s="14"/>
      <c r="G423" s="14">
        <v>30</v>
      </c>
      <c r="H423" s="14"/>
    </row>
    <row r="424" spans="1:8" ht="15">
      <c r="A424" s="14" t="s">
        <v>149</v>
      </c>
      <c r="B424" s="14" t="s">
        <v>175</v>
      </c>
      <c r="C424" s="14"/>
      <c r="D424" s="14"/>
      <c r="E424" s="14"/>
      <c r="F424" s="14"/>
      <c r="G424" s="14">
        <f>46.2+226</f>
        <v>272.2</v>
      </c>
      <c r="H424" s="14"/>
    </row>
    <row r="425" spans="1:8" ht="15">
      <c r="A425" s="14" t="s">
        <v>150</v>
      </c>
      <c r="B425" s="14" t="s">
        <v>80</v>
      </c>
      <c r="C425" s="14"/>
      <c r="D425" s="14"/>
      <c r="E425" s="14">
        <v>255</v>
      </c>
      <c r="F425" s="14"/>
      <c r="G425" s="14"/>
      <c r="H425" s="14"/>
    </row>
    <row r="426" spans="1:8" ht="15">
      <c r="A426" s="14" t="s">
        <v>151</v>
      </c>
      <c r="B426" s="14" t="s">
        <v>144</v>
      </c>
      <c r="C426" s="14"/>
      <c r="D426" s="14"/>
      <c r="E426" s="14">
        <v>21.5</v>
      </c>
      <c r="F426" s="14"/>
      <c r="G426" s="14"/>
      <c r="H426" s="14"/>
    </row>
    <row r="427" spans="1:8" ht="15">
      <c r="A427" s="14" t="s">
        <v>152</v>
      </c>
      <c r="B427" s="14" t="s">
        <v>143</v>
      </c>
      <c r="C427" s="14"/>
      <c r="D427" s="14"/>
      <c r="E427" s="14"/>
      <c r="F427" s="14">
        <v>16</v>
      </c>
      <c r="G427" s="14"/>
      <c r="H427" s="14"/>
    </row>
    <row r="428" spans="1:8" ht="15">
      <c r="A428" s="14" t="s">
        <v>153</v>
      </c>
      <c r="B428" s="14" t="s">
        <v>179</v>
      </c>
      <c r="C428" s="14"/>
      <c r="D428" s="14">
        <v>327.1</v>
      </c>
      <c r="E428" s="14"/>
      <c r="F428" s="14">
        <v>501.3</v>
      </c>
      <c r="G428" s="14"/>
      <c r="H428" s="14"/>
    </row>
    <row r="429" spans="1:8" ht="15">
      <c r="A429" s="13"/>
      <c r="B429" s="13" t="s">
        <v>61</v>
      </c>
      <c r="C429" s="13"/>
      <c r="D429" s="13"/>
      <c r="E429" s="13"/>
      <c r="F429" s="13"/>
      <c r="G429" s="13"/>
      <c r="H429" s="14"/>
    </row>
    <row r="430" spans="1:8" ht="15">
      <c r="A430" s="13"/>
      <c r="B430" s="13" t="s">
        <v>62</v>
      </c>
      <c r="C430" s="15">
        <f>C392+C411</f>
        <v>2581.6000000000004</v>
      </c>
      <c r="D430" s="15">
        <f>D392+D411</f>
        <v>2581.6000000000004</v>
      </c>
      <c r="E430" s="15">
        <f>E392+E411</f>
        <v>2831.9</v>
      </c>
      <c r="F430" s="15">
        <f>F392+F411</f>
        <v>2831.9</v>
      </c>
      <c r="G430" s="15">
        <f>G392+G411</f>
        <v>3109.6</v>
      </c>
      <c r="H430" s="14"/>
    </row>
    <row r="431" spans="1:8" ht="15">
      <c r="A431" s="13" t="s">
        <v>64</v>
      </c>
      <c r="B431" s="14" t="s">
        <v>63</v>
      </c>
      <c r="C431" s="14">
        <v>1.7</v>
      </c>
      <c r="D431" s="14">
        <v>1.7</v>
      </c>
      <c r="E431" s="14">
        <v>2</v>
      </c>
      <c r="F431" s="14">
        <v>2</v>
      </c>
      <c r="G431" s="14">
        <v>0</v>
      </c>
      <c r="H431" s="14"/>
    </row>
    <row r="432" spans="1:8" ht="14.25">
      <c r="A432" s="13"/>
      <c r="B432" s="13" t="s">
        <v>65</v>
      </c>
      <c r="C432" s="15">
        <f>C430+C431</f>
        <v>2583.3</v>
      </c>
      <c r="D432" s="15">
        <f>D430+D431</f>
        <v>2583.3</v>
      </c>
      <c r="E432" s="15">
        <f>E430+E431</f>
        <v>2833.9</v>
      </c>
      <c r="F432" s="15">
        <f>F430+F431</f>
        <v>2833.9</v>
      </c>
      <c r="G432" s="15">
        <f>G430+G431</f>
        <v>3109.6</v>
      </c>
      <c r="H432" s="13"/>
    </row>
    <row r="433" spans="1:8" ht="14.25">
      <c r="A433" s="13"/>
      <c r="B433" s="13" t="s">
        <v>66</v>
      </c>
      <c r="C433" s="15">
        <f>C435+C437+C438</f>
        <v>2583.3</v>
      </c>
      <c r="D433" s="15">
        <f>D435+D437+D438</f>
        <v>2583.3</v>
      </c>
      <c r="E433" s="15">
        <f>E435+E437+E438</f>
        <v>2833.9</v>
      </c>
      <c r="F433" s="15">
        <f>F435+F437+F438</f>
        <v>2833.9</v>
      </c>
      <c r="G433" s="15">
        <f>G435+G437+G438</f>
        <v>3109.6</v>
      </c>
      <c r="H433" s="13"/>
    </row>
    <row r="434" spans="1:8" ht="15">
      <c r="A434" s="14"/>
      <c r="B434" s="14" t="s">
        <v>44</v>
      </c>
      <c r="C434" s="14"/>
      <c r="D434" s="14"/>
      <c r="E434" s="14"/>
      <c r="F434" s="14"/>
      <c r="G434" s="14"/>
      <c r="H434" s="14"/>
    </row>
    <row r="435" spans="1:8" ht="15">
      <c r="A435" s="14"/>
      <c r="B435" s="14" t="s">
        <v>67</v>
      </c>
      <c r="C435" s="16">
        <f>C392+C411</f>
        <v>2581.6000000000004</v>
      </c>
      <c r="D435" s="16">
        <f>D392+D411</f>
        <v>2581.6000000000004</v>
      </c>
      <c r="E435" s="16">
        <f>E392+E411</f>
        <v>2831.9</v>
      </c>
      <c r="F435" s="16">
        <f>F392+F411</f>
        <v>2831.9</v>
      </c>
      <c r="G435" s="16">
        <f>G392+G411</f>
        <v>3109.6</v>
      </c>
      <c r="H435" s="13"/>
    </row>
    <row r="436" spans="1:8" ht="15">
      <c r="A436" s="17"/>
      <c r="B436" s="18" t="s">
        <v>16</v>
      </c>
      <c r="C436" s="13"/>
      <c r="D436" s="13"/>
      <c r="E436" s="13"/>
      <c r="F436" s="13"/>
      <c r="G436" s="13"/>
      <c r="H436" s="13"/>
    </row>
    <row r="437" spans="1:8" ht="15">
      <c r="A437" s="17"/>
      <c r="B437" s="18" t="s">
        <v>68</v>
      </c>
      <c r="C437" s="17">
        <v>1.7</v>
      </c>
      <c r="D437" s="17">
        <v>1.7</v>
      </c>
      <c r="E437" s="17">
        <v>2</v>
      </c>
      <c r="F437" s="28">
        <v>2</v>
      </c>
      <c r="G437" s="17">
        <v>0</v>
      </c>
      <c r="H437" s="17"/>
    </row>
    <row r="438" spans="1:8" ht="15">
      <c r="A438" s="17"/>
      <c r="B438" s="18" t="s">
        <v>69</v>
      </c>
      <c r="C438" s="13"/>
      <c r="D438" s="13"/>
      <c r="E438" s="13"/>
      <c r="F438" s="13"/>
      <c r="G438" s="13"/>
      <c r="H438" s="13"/>
    </row>
    <row r="439" spans="1:8" ht="15">
      <c r="A439" s="17"/>
      <c r="B439" s="18" t="s">
        <v>70</v>
      </c>
      <c r="C439" s="13"/>
      <c r="D439" s="13"/>
      <c r="E439" s="13"/>
      <c r="F439" s="13"/>
      <c r="G439" s="13"/>
      <c r="H439" s="13"/>
    </row>
    <row r="440" spans="1:8" ht="12.75">
      <c r="A440" s="19"/>
      <c r="B440" s="19" t="s">
        <v>71</v>
      </c>
      <c r="C440" s="27">
        <f>C433-C432</f>
        <v>0</v>
      </c>
      <c r="D440" s="27">
        <f>D433-D432</f>
        <v>0</v>
      </c>
      <c r="E440" s="27">
        <f>E433-E432</f>
        <v>0</v>
      </c>
      <c r="F440" s="27">
        <f>F433-F432</f>
        <v>0</v>
      </c>
      <c r="G440" s="27">
        <f>G433-G432</f>
        <v>0</v>
      </c>
      <c r="H440" s="19"/>
    </row>
    <row r="441" spans="2:5" s="1" customFormat="1" ht="15">
      <c r="B441" s="1" t="s">
        <v>134</v>
      </c>
      <c r="E441" s="1" t="s">
        <v>135</v>
      </c>
    </row>
    <row r="442" s="1" customFormat="1" ht="15"/>
    <row r="443" spans="2:5" s="1" customFormat="1" ht="15">
      <c r="B443" s="1" t="s">
        <v>170</v>
      </c>
      <c r="E443" s="1" t="s">
        <v>171</v>
      </c>
    </row>
    <row r="444" s="1" customFormat="1" ht="15"/>
    <row r="445" spans="2:5" s="1" customFormat="1" ht="15">
      <c r="B445" s="1" t="s">
        <v>136</v>
      </c>
      <c r="E445" s="1" t="s">
        <v>137</v>
      </c>
    </row>
    <row r="446" spans="1:8" ht="12.75">
      <c r="A446" s="17"/>
      <c r="B446" s="17"/>
      <c r="C446" s="17"/>
      <c r="D446" s="17"/>
      <c r="E446" s="17"/>
      <c r="F446" s="17"/>
      <c r="G446" s="17"/>
      <c r="H446" s="17"/>
    </row>
  </sheetData>
  <mergeCells count="14">
    <mergeCell ref="A384:H384"/>
    <mergeCell ref="A385:H385"/>
    <mergeCell ref="A257:H257"/>
    <mergeCell ref="A258:H258"/>
    <mergeCell ref="A321:H321"/>
    <mergeCell ref="A322:H322"/>
    <mergeCell ref="A129:H129"/>
    <mergeCell ref="A130:H130"/>
    <mergeCell ref="A193:H193"/>
    <mergeCell ref="A194:H194"/>
    <mergeCell ref="A1:H1"/>
    <mergeCell ref="A2:H2"/>
    <mergeCell ref="A65:H65"/>
    <mergeCell ref="A66:H66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7"/>
  <sheetViews>
    <sheetView workbookViewId="0" topLeftCell="A262">
      <selection activeCell="L281" sqref="L281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spans="1:7" ht="15">
      <c r="A1" s="140" t="s">
        <v>1</v>
      </c>
      <c r="B1" s="142" t="s">
        <v>181</v>
      </c>
      <c r="C1" s="143"/>
      <c r="D1" s="143"/>
      <c r="E1" s="143"/>
      <c r="F1" s="143"/>
      <c r="G1" s="144"/>
    </row>
    <row r="2" spans="1:7" ht="15.75" thickBot="1">
      <c r="A2" s="141"/>
      <c r="B2" s="145" t="s">
        <v>182</v>
      </c>
      <c r="C2" s="146"/>
      <c r="D2" s="146"/>
      <c r="E2" s="146"/>
      <c r="F2" s="146"/>
      <c r="G2" s="147"/>
    </row>
    <row r="3" spans="1:7" ht="43.5" thickBot="1">
      <c r="A3" s="29"/>
      <c r="B3" s="30" t="s">
        <v>183</v>
      </c>
      <c r="C3" s="31" t="s">
        <v>184</v>
      </c>
      <c r="D3" s="31" t="s">
        <v>185</v>
      </c>
      <c r="E3" s="31" t="s">
        <v>186</v>
      </c>
      <c r="F3" s="31" t="s">
        <v>187</v>
      </c>
      <c r="G3" s="32" t="s">
        <v>188</v>
      </c>
    </row>
    <row r="4" spans="1:7" ht="15.75" thickBot="1">
      <c r="A4" s="33"/>
      <c r="B4" s="34" t="s">
        <v>189</v>
      </c>
      <c r="C4" s="35"/>
      <c r="D4" s="35"/>
      <c r="E4" s="36"/>
      <c r="F4" s="35"/>
      <c r="G4" s="37"/>
    </row>
    <row r="5" spans="1:7" ht="15.75" thickBot="1">
      <c r="A5" s="38">
        <v>1</v>
      </c>
      <c r="B5" s="39" t="s">
        <v>190</v>
      </c>
      <c r="C5" s="40"/>
      <c r="D5" s="40"/>
      <c r="E5" s="41"/>
      <c r="F5" s="40"/>
      <c r="G5" s="42">
        <f>G6+G7</f>
        <v>26255.312704000004</v>
      </c>
    </row>
    <row r="6" spans="1:7" ht="15">
      <c r="A6" s="43"/>
      <c r="B6" s="44" t="s">
        <v>191</v>
      </c>
      <c r="C6" s="45" t="s">
        <v>192</v>
      </c>
      <c r="D6" s="46">
        <v>320</v>
      </c>
      <c r="E6" s="8">
        <v>49.72</v>
      </c>
      <c r="F6" s="44">
        <v>360</v>
      </c>
      <c r="G6" s="47">
        <f>E6*F6</f>
        <v>17899.2</v>
      </c>
    </row>
    <row r="7" spans="1:7" ht="15.75" thickBot="1">
      <c r="A7" s="43"/>
      <c r="B7" s="44" t="s">
        <v>193</v>
      </c>
      <c r="C7" s="45" t="s">
        <v>194</v>
      </c>
      <c r="D7" s="46">
        <v>37700</v>
      </c>
      <c r="E7" s="8">
        <v>422.06</v>
      </c>
      <c r="F7" s="44">
        <v>19798.4</v>
      </c>
      <c r="G7" s="47">
        <f>E7*F7/1000</f>
        <v>8356.112704000001</v>
      </c>
    </row>
    <row r="8" spans="1:7" ht="15.75" thickBot="1">
      <c r="A8" s="33">
        <v>2</v>
      </c>
      <c r="B8" s="34" t="s">
        <v>195</v>
      </c>
      <c r="C8" s="35"/>
      <c r="D8" s="35"/>
      <c r="E8" s="36"/>
      <c r="F8" s="35"/>
      <c r="G8" s="48">
        <f>G9</f>
        <v>2556</v>
      </c>
    </row>
    <row r="9" spans="1:7" ht="15.75" thickBot="1">
      <c r="A9" s="49"/>
      <c r="B9" s="50" t="s">
        <v>196</v>
      </c>
      <c r="C9" s="50" t="s">
        <v>192</v>
      </c>
      <c r="D9" s="50">
        <v>2240</v>
      </c>
      <c r="E9" s="51">
        <v>7.1</v>
      </c>
      <c r="F9" s="50">
        <v>360</v>
      </c>
      <c r="G9" s="52">
        <f>E9*F9</f>
        <v>2556</v>
      </c>
    </row>
    <row r="10" spans="1:7" ht="15.75" thickBot="1">
      <c r="A10" s="33">
        <v>3</v>
      </c>
      <c r="B10" s="34" t="s">
        <v>197</v>
      </c>
      <c r="C10" s="35"/>
      <c r="D10" s="35"/>
      <c r="E10" s="36"/>
      <c r="F10" s="35"/>
      <c r="G10" s="48">
        <f>G11</f>
        <v>4787.649088</v>
      </c>
    </row>
    <row r="11" spans="1:7" ht="15.75" thickBot="1">
      <c r="A11" s="53"/>
      <c r="B11" s="54" t="s">
        <v>198</v>
      </c>
      <c r="C11" s="55" t="s">
        <v>194</v>
      </c>
      <c r="D11" s="56">
        <v>65800</v>
      </c>
      <c r="E11" s="9">
        <v>241.82</v>
      </c>
      <c r="F11" s="54">
        <v>19798.4</v>
      </c>
      <c r="G11" s="47">
        <f>E11*F11/1000</f>
        <v>4787.649088</v>
      </c>
    </row>
    <row r="12" spans="1:7" ht="15.75" thickBot="1">
      <c r="A12" s="29">
        <v>4</v>
      </c>
      <c r="B12" s="57" t="s">
        <v>199</v>
      </c>
      <c r="C12" s="58" t="s">
        <v>192</v>
      </c>
      <c r="D12" s="58">
        <v>1995</v>
      </c>
      <c r="E12" s="59">
        <v>5.74</v>
      </c>
      <c r="F12" s="58">
        <v>360</v>
      </c>
      <c r="G12" s="60">
        <f>E12*F12</f>
        <v>2066.4</v>
      </c>
    </row>
    <row r="13" spans="1:7" ht="15.75" thickBot="1">
      <c r="A13" s="33">
        <v>5</v>
      </c>
      <c r="B13" s="34" t="s">
        <v>200</v>
      </c>
      <c r="C13" s="35"/>
      <c r="D13" s="35"/>
      <c r="E13" s="36"/>
      <c r="F13" s="35"/>
      <c r="G13" s="48">
        <f>G14</f>
        <v>4797.3503040000005</v>
      </c>
    </row>
    <row r="14" spans="1:7" ht="15.75" thickBot="1">
      <c r="A14" s="43"/>
      <c r="B14" s="44" t="s">
        <v>201</v>
      </c>
      <c r="C14" s="45" t="s">
        <v>194</v>
      </c>
      <c r="D14" s="46">
        <v>55800</v>
      </c>
      <c r="E14" s="8">
        <v>242.31</v>
      </c>
      <c r="F14" s="44">
        <v>19798.4</v>
      </c>
      <c r="G14" s="47">
        <f>E14*F14/1000</f>
        <v>4797.3503040000005</v>
      </c>
    </row>
    <row r="15" spans="1:7" ht="15.75" thickBot="1">
      <c r="A15" s="33">
        <v>6</v>
      </c>
      <c r="B15" s="34" t="s">
        <v>202</v>
      </c>
      <c r="C15" s="35"/>
      <c r="D15" s="35"/>
      <c r="E15" s="36"/>
      <c r="F15" s="35"/>
      <c r="G15" s="48">
        <f>G16</f>
        <v>0</v>
      </c>
    </row>
    <row r="16" spans="1:7" ht="15.75" thickBot="1">
      <c r="A16" s="43"/>
      <c r="B16" s="44" t="s">
        <v>201</v>
      </c>
      <c r="C16" s="45" t="s">
        <v>194</v>
      </c>
      <c r="D16" s="46">
        <v>68000</v>
      </c>
      <c r="E16" s="8">
        <v>0</v>
      </c>
      <c r="F16" s="44">
        <v>19798.4</v>
      </c>
      <c r="G16" s="47">
        <f>E16*F16/1000</f>
        <v>0</v>
      </c>
    </row>
    <row r="17" spans="1:7" ht="15" thickBot="1">
      <c r="A17" s="33">
        <v>7</v>
      </c>
      <c r="B17" s="34" t="s">
        <v>203</v>
      </c>
      <c r="C17" s="34"/>
      <c r="D17" s="34"/>
      <c r="E17" s="34"/>
      <c r="F17" s="34"/>
      <c r="G17" s="48">
        <f>G18</f>
        <v>0</v>
      </c>
    </row>
    <row r="18" spans="1:7" ht="15.75" thickBot="1">
      <c r="A18" s="61"/>
      <c r="B18" s="44" t="s">
        <v>201</v>
      </c>
      <c r="C18" s="45" t="s">
        <v>194</v>
      </c>
      <c r="D18" s="45">
        <v>67000</v>
      </c>
      <c r="E18" s="45">
        <v>0</v>
      </c>
      <c r="F18" s="45">
        <v>19798.4</v>
      </c>
      <c r="G18" s="47">
        <f>E18*F18/1000</f>
        <v>0</v>
      </c>
    </row>
    <row r="19" spans="1:7" ht="15.75" thickBot="1">
      <c r="A19" s="33">
        <v>9</v>
      </c>
      <c r="B19" s="62" t="s">
        <v>204</v>
      </c>
      <c r="C19" s="35"/>
      <c r="D19" s="35"/>
      <c r="E19" s="35"/>
      <c r="F19" s="35"/>
      <c r="G19" s="48">
        <f>G20</f>
        <v>2363.1419519999995</v>
      </c>
    </row>
    <row r="20" spans="1:7" ht="15.75" thickBot="1">
      <c r="A20" s="61"/>
      <c r="B20" s="45" t="s">
        <v>205</v>
      </c>
      <c r="C20" s="45" t="s">
        <v>194</v>
      </c>
      <c r="D20" s="45">
        <v>13100</v>
      </c>
      <c r="E20" s="45">
        <v>1032.12</v>
      </c>
      <c r="F20" s="45">
        <v>2289.6</v>
      </c>
      <c r="G20" s="63">
        <f>E20*F20/1000</f>
        <v>2363.1419519999995</v>
      </c>
    </row>
    <row r="21" spans="1:7" ht="15" thickBot="1">
      <c r="A21" s="33">
        <v>10</v>
      </c>
      <c r="B21" s="34" t="s">
        <v>45</v>
      </c>
      <c r="C21" s="34" t="s">
        <v>194</v>
      </c>
      <c r="D21" s="34"/>
      <c r="E21" s="64"/>
      <c r="F21" s="34"/>
      <c r="G21" s="65">
        <f>G22</f>
        <v>12578.299032</v>
      </c>
    </row>
    <row r="22" spans="1:7" ht="15.75" thickBot="1">
      <c r="A22" s="66"/>
      <c r="B22" s="67" t="s">
        <v>206</v>
      </c>
      <c r="C22" s="67"/>
      <c r="D22" s="68">
        <v>1900</v>
      </c>
      <c r="E22" s="6">
        <v>4339.14</v>
      </c>
      <c r="F22" s="69">
        <v>2898.8</v>
      </c>
      <c r="G22" s="63">
        <f>E22*F22/1000</f>
        <v>12578.299032</v>
      </c>
    </row>
    <row r="23" spans="1:7" ht="15" thickBot="1">
      <c r="A23" s="33">
        <v>11</v>
      </c>
      <c r="B23" s="34" t="s">
        <v>102</v>
      </c>
      <c r="C23" s="34" t="s">
        <v>194</v>
      </c>
      <c r="D23" s="34"/>
      <c r="E23" s="64"/>
      <c r="F23" s="34"/>
      <c r="G23" s="65">
        <f>G24</f>
        <v>21261.447216</v>
      </c>
    </row>
    <row r="24" spans="1:7" ht="15.75" thickBot="1">
      <c r="A24" s="66"/>
      <c r="B24" s="67" t="s">
        <v>207</v>
      </c>
      <c r="C24" s="67"/>
      <c r="D24" s="68">
        <v>1100</v>
      </c>
      <c r="E24" s="6">
        <v>7494.87</v>
      </c>
      <c r="F24" s="69">
        <v>2836.8</v>
      </c>
      <c r="G24" s="63">
        <f>E24*F24/1000</f>
        <v>21261.447216</v>
      </c>
    </row>
    <row r="25" spans="1:7" ht="15" thickBot="1">
      <c r="A25" s="33">
        <v>12</v>
      </c>
      <c r="B25" s="34" t="s">
        <v>103</v>
      </c>
      <c r="C25" s="34" t="s">
        <v>208</v>
      </c>
      <c r="D25" s="34"/>
      <c r="E25" s="64"/>
      <c r="F25" s="34"/>
      <c r="G25" s="65">
        <f>G26</f>
        <v>6817.799999999999</v>
      </c>
    </row>
    <row r="26" spans="1:7" ht="15.75" thickBot="1">
      <c r="A26" s="38"/>
      <c r="B26" s="50" t="s">
        <v>209</v>
      </c>
      <c r="C26" s="50"/>
      <c r="D26" s="70">
        <v>1250</v>
      </c>
      <c r="E26" s="51">
        <v>6.6</v>
      </c>
      <c r="F26" s="71">
        <v>1033</v>
      </c>
      <c r="G26" s="72">
        <f>E26*F26</f>
        <v>6817.799999999999</v>
      </c>
    </row>
    <row r="27" spans="1:7" ht="15">
      <c r="A27" s="73">
        <v>13</v>
      </c>
      <c r="B27" s="74" t="s">
        <v>210</v>
      </c>
      <c r="C27" s="75" t="s">
        <v>211</v>
      </c>
      <c r="D27" s="76" t="s">
        <v>212</v>
      </c>
      <c r="E27" s="6">
        <v>4542.6</v>
      </c>
      <c r="F27" s="77">
        <v>9</v>
      </c>
      <c r="G27" s="78">
        <f>E27*F27</f>
        <v>40883.4</v>
      </c>
    </row>
    <row r="28" spans="1:7" ht="15.75" thickBot="1">
      <c r="A28" s="49"/>
      <c r="B28" s="79" t="s">
        <v>213</v>
      </c>
      <c r="C28" s="50"/>
      <c r="D28" s="70"/>
      <c r="E28" s="51"/>
      <c r="F28" s="71"/>
      <c r="G28" s="80">
        <f>G5+G8+G10+G12+G13+G15+G17+G19+G21+G23+G25+G27</f>
        <v>124366.800296</v>
      </c>
    </row>
    <row r="29" spans="1:7" ht="15">
      <c r="A29" s="73">
        <v>14</v>
      </c>
      <c r="B29" s="74" t="s">
        <v>214</v>
      </c>
      <c r="C29" s="75"/>
      <c r="D29" s="81"/>
      <c r="E29" s="6"/>
      <c r="F29" s="77"/>
      <c r="G29" s="78">
        <f>G28*0.107</f>
        <v>13307.247631672</v>
      </c>
    </row>
    <row r="30" spans="1:7" ht="15">
      <c r="A30" s="43">
        <v>15</v>
      </c>
      <c r="B30" s="82" t="s">
        <v>95</v>
      </c>
      <c r="C30" s="45"/>
      <c r="D30" s="46"/>
      <c r="E30" s="8"/>
      <c r="F30" s="44"/>
      <c r="G30" s="83">
        <f>G29*0.65</f>
        <v>8649.7109605868</v>
      </c>
    </row>
    <row r="31" spans="1:7" ht="15.75" thickBot="1">
      <c r="A31" s="84">
        <v>16</v>
      </c>
      <c r="B31" s="85" t="s">
        <v>91</v>
      </c>
      <c r="C31" s="86"/>
      <c r="D31" s="87"/>
      <c r="E31" s="51"/>
      <c r="F31" s="88"/>
      <c r="G31" s="89">
        <f>G32+G33+G34+G35+G36+G38+G39+G42+G43+G44+G45</f>
        <v>28748.784333333333</v>
      </c>
    </row>
    <row r="32" spans="1:7" ht="15">
      <c r="A32" s="90"/>
      <c r="B32" s="75" t="s">
        <v>105</v>
      </c>
      <c r="C32" s="75" t="s">
        <v>194</v>
      </c>
      <c r="D32" s="81"/>
      <c r="E32" s="6">
        <v>0.83</v>
      </c>
      <c r="F32" s="77">
        <v>19798.4</v>
      </c>
      <c r="G32" s="91">
        <f>E32*F32</f>
        <v>16432.672</v>
      </c>
    </row>
    <row r="33" spans="1:7" ht="15">
      <c r="A33" s="61"/>
      <c r="B33" s="45" t="s">
        <v>215</v>
      </c>
      <c r="C33" s="45" t="s">
        <v>194</v>
      </c>
      <c r="D33" s="46"/>
      <c r="E33" s="8">
        <v>0.05</v>
      </c>
      <c r="F33" s="44">
        <v>1768.7</v>
      </c>
      <c r="G33" s="92">
        <f>E33*F33</f>
        <v>88.435</v>
      </c>
    </row>
    <row r="34" spans="1:7" ht="15.75" thickBot="1">
      <c r="A34" s="61"/>
      <c r="B34" s="45" t="s">
        <v>216</v>
      </c>
      <c r="C34" s="45" t="s">
        <v>194</v>
      </c>
      <c r="D34" s="46"/>
      <c r="E34" s="93">
        <v>0.08</v>
      </c>
      <c r="F34" s="44">
        <v>1768.7</v>
      </c>
      <c r="G34" s="92">
        <f>E34*F34</f>
        <v>141.496</v>
      </c>
    </row>
    <row r="35" spans="1:7" ht="15">
      <c r="A35" s="94"/>
      <c r="B35" s="45" t="s">
        <v>217</v>
      </c>
      <c r="C35" s="45" t="s">
        <v>194</v>
      </c>
      <c r="D35" s="46"/>
      <c r="E35" s="45">
        <v>0.01</v>
      </c>
      <c r="F35" s="77">
        <v>19798.4</v>
      </c>
      <c r="G35" s="92">
        <f>E35*F35</f>
        <v>197.984</v>
      </c>
    </row>
    <row r="36" spans="1:7" ht="15">
      <c r="A36" s="61"/>
      <c r="B36" s="45" t="s">
        <v>218</v>
      </c>
      <c r="C36" s="45" t="s">
        <v>219</v>
      </c>
      <c r="D36" s="46"/>
      <c r="E36" s="8">
        <v>76.1</v>
      </c>
      <c r="F36" s="44">
        <v>9</v>
      </c>
      <c r="G36" s="92">
        <f>E36*F36</f>
        <v>684.9</v>
      </c>
    </row>
    <row r="37" spans="1:7" ht="15">
      <c r="A37" s="61"/>
      <c r="B37" s="45" t="s">
        <v>220</v>
      </c>
      <c r="C37" s="45" t="s">
        <v>219</v>
      </c>
      <c r="D37" s="46"/>
      <c r="E37" s="8">
        <v>0</v>
      </c>
      <c r="F37" s="44">
        <v>0</v>
      </c>
      <c r="G37" s="92">
        <v>0</v>
      </c>
    </row>
    <row r="38" spans="1:7" ht="15">
      <c r="A38" s="61"/>
      <c r="B38" s="45" t="s">
        <v>221</v>
      </c>
      <c r="C38" s="45" t="s">
        <v>219</v>
      </c>
      <c r="D38" s="46"/>
      <c r="E38" s="8">
        <v>906.58</v>
      </c>
      <c r="F38" s="44">
        <v>9</v>
      </c>
      <c r="G38" s="92">
        <f>E38*F38</f>
        <v>8159.22</v>
      </c>
    </row>
    <row r="39" spans="1:7" ht="15">
      <c r="A39" s="61"/>
      <c r="B39" s="45" t="s">
        <v>222</v>
      </c>
      <c r="C39" s="45" t="s">
        <v>219</v>
      </c>
      <c r="D39" s="46"/>
      <c r="E39" s="93">
        <v>91.24</v>
      </c>
      <c r="F39" s="44">
        <v>9</v>
      </c>
      <c r="G39" s="92">
        <f>E39*F39</f>
        <v>821.16</v>
      </c>
    </row>
    <row r="40" spans="1:7" ht="15">
      <c r="A40" s="61"/>
      <c r="B40" s="45" t="s">
        <v>223</v>
      </c>
      <c r="C40" s="45" t="s">
        <v>194</v>
      </c>
      <c r="D40" s="46"/>
      <c r="E40" s="8">
        <v>1.2</v>
      </c>
      <c r="F40" s="44">
        <v>0</v>
      </c>
      <c r="G40" s="95">
        <v>0</v>
      </c>
    </row>
    <row r="41" spans="1:7" ht="15.75" thickBot="1">
      <c r="A41" s="61"/>
      <c r="B41" s="45" t="s">
        <v>224</v>
      </c>
      <c r="C41" s="45" t="s">
        <v>219</v>
      </c>
      <c r="D41" s="46"/>
      <c r="E41" s="93">
        <f>104.9/12</f>
        <v>8.741666666666667</v>
      </c>
      <c r="F41" s="44">
        <v>0</v>
      </c>
      <c r="G41" s="95">
        <v>0</v>
      </c>
    </row>
    <row r="42" spans="1:7" ht="15.75" thickBot="1">
      <c r="A42" s="61"/>
      <c r="B42" s="45" t="s">
        <v>225</v>
      </c>
      <c r="C42" s="45" t="s">
        <v>194</v>
      </c>
      <c r="D42" s="46"/>
      <c r="E42" s="8">
        <v>0.32</v>
      </c>
      <c r="F42" s="77">
        <v>19798.4</v>
      </c>
      <c r="G42" s="92">
        <f>E42*F42/12</f>
        <v>527.9573333333334</v>
      </c>
    </row>
    <row r="43" spans="1:7" ht="15">
      <c r="A43" s="61"/>
      <c r="B43" s="45" t="s">
        <v>226</v>
      </c>
      <c r="C43" s="45" t="s">
        <v>194</v>
      </c>
      <c r="D43" s="46"/>
      <c r="E43" s="8">
        <v>0.3</v>
      </c>
      <c r="F43" s="77">
        <v>19798.4</v>
      </c>
      <c r="G43" s="92">
        <f>E43*F43/12</f>
        <v>494.96000000000004</v>
      </c>
    </row>
    <row r="44" spans="1:7" ht="15">
      <c r="A44" s="61"/>
      <c r="B44" s="45" t="s">
        <v>227</v>
      </c>
      <c r="C44" s="45" t="s">
        <v>219</v>
      </c>
      <c r="D44" s="46"/>
      <c r="E44" s="8">
        <v>300</v>
      </c>
      <c r="F44" s="44">
        <v>2</v>
      </c>
      <c r="G44" s="92">
        <f>E44*F44</f>
        <v>600</v>
      </c>
    </row>
    <row r="45" spans="1:7" ht="15.75" thickBot="1">
      <c r="A45" s="96"/>
      <c r="B45" s="50" t="s">
        <v>228</v>
      </c>
      <c r="C45" s="50" t="s">
        <v>219</v>
      </c>
      <c r="D45" s="70"/>
      <c r="E45" s="51">
        <v>300</v>
      </c>
      <c r="F45" s="71">
        <v>2</v>
      </c>
      <c r="G45" s="72">
        <f>E45*F45</f>
        <v>600</v>
      </c>
    </row>
    <row r="46" spans="1:7" ht="15">
      <c r="A46" s="66">
        <v>17</v>
      </c>
      <c r="B46" s="97" t="s">
        <v>229</v>
      </c>
      <c r="C46" s="67"/>
      <c r="D46" s="68"/>
      <c r="E46" s="6"/>
      <c r="F46" s="69"/>
      <c r="G46" s="98">
        <f>G47+G48</f>
        <v>259.71407366666665</v>
      </c>
    </row>
    <row r="47" spans="1:7" ht="15">
      <c r="A47" s="43"/>
      <c r="B47" s="44" t="s">
        <v>230</v>
      </c>
      <c r="C47" s="45" t="s">
        <v>231</v>
      </c>
      <c r="D47" s="46"/>
      <c r="E47" s="93">
        <f>1.1*15.51*1.1</f>
        <v>18.767100000000003</v>
      </c>
      <c r="F47" s="44">
        <v>55.64</v>
      </c>
      <c r="G47" s="92">
        <f>E47*F47/12</f>
        <v>87.01678700000002</v>
      </c>
    </row>
    <row r="48" spans="1:7" ht="15.75" thickBot="1">
      <c r="A48" s="43"/>
      <c r="B48" s="44" t="s">
        <v>232</v>
      </c>
      <c r="C48" s="45" t="s">
        <v>231</v>
      </c>
      <c r="D48" s="46"/>
      <c r="E48" s="93">
        <f>1.1*33.86</f>
        <v>37.246</v>
      </c>
      <c r="F48" s="44">
        <v>55.64</v>
      </c>
      <c r="G48" s="92">
        <f>E48*F48/12</f>
        <v>172.69728666666666</v>
      </c>
    </row>
    <row r="49" spans="1:7" ht="15.75" thickBot="1">
      <c r="A49" s="43">
        <v>18</v>
      </c>
      <c r="B49" s="99" t="s">
        <v>107</v>
      </c>
      <c r="C49" s="45" t="s">
        <v>194</v>
      </c>
      <c r="D49" s="46"/>
      <c r="E49" s="8">
        <v>0.5</v>
      </c>
      <c r="F49" s="77">
        <v>19798.4</v>
      </c>
      <c r="G49" s="100">
        <f>E49*F49</f>
        <v>9899.2</v>
      </c>
    </row>
    <row r="50" spans="1:7" ht="15.75" thickBot="1">
      <c r="A50" s="43">
        <v>19</v>
      </c>
      <c r="B50" s="99" t="s">
        <v>233</v>
      </c>
      <c r="C50" s="45" t="s">
        <v>194</v>
      </c>
      <c r="D50" s="46"/>
      <c r="E50" s="8">
        <v>1.1</v>
      </c>
      <c r="F50" s="77">
        <v>19798.4</v>
      </c>
      <c r="G50" s="83">
        <f>E50*F50</f>
        <v>21778.24</v>
      </c>
    </row>
    <row r="51" spans="1:7" ht="15">
      <c r="A51" s="73"/>
      <c r="B51" s="101" t="s">
        <v>234</v>
      </c>
      <c r="C51" s="75"/>
      <c r="D51" s="81"/>
      <c r="E51" s="6"/>
      <c r="F51" s="77"/>
      <c r="G51" s="78">
        <f>G28+G29+G30+G31+G46+G49+G50</f>
        <v>207009.6972952588</v>
      </c>
    </row>
    <row r="52" spans="1:7" ht="15">
      <c r="A52" s="44" t="s">
        <v>252</v>
      </c>
      <c r="B52" s="45"/>
      <c r="C52" s="46"/>
      <c r="D52" s="8"/>
      <c r="E52" s="44"/>
      <c r="F52" s="44"/>
      <c r="G52" s="102">
        <f>G51/F7</f>
        <v>10.455880136539255</v>
      </c>
    </row>
    <row r="53" spans="1:7" ht="15">
      <c r="A53" s="53"/>
      <c r="B53" s="54"/>
      <c r="C53" s="55"/>
      <c r="D53" s="103"/>
      <c r="E53" s="8"/>
      <c r="F53" s="54"/>
      <c r="G53" s="104"/>
    </row>
    <row r="54" spans="1:7" ht="15" thickBot="1">
      <c r="A54" s="105"/>
      <c r="B54" s="106"/>
      <c r="C54" s="107"/>
      <c r="D54" s="11"/>
      <c r="E54" s="108"/>
      <c r="F54" s="109"/>
      <c r="G54" s="110"/>
    </row>
    <row r="55" spans="1:7" ht="15.75" thickBot="1">
      <c r="A55" s="49">
        <v>20</v>
      </c>
      <c r="B55" s="79" t="s">
        <v>56</v>
      </c>
      <c r="C55" s="79"/>
      <c r="D55" s="111"/>
      <c r="E55" s="112">
        <v>2.64</v>
      </c>
      <c r="F55" s="77">
        <v>19798.4</v>
      </c>
      <c r="G55" s="113">
        <f>E55*F55</f>
        <v>52267.776000000005</v>
      </c>
    </row>
    <row r="56" ht="15.75" thickBot="1"/>
    <row r="57" spans="1:7" ht="15">
      <c r="A57" s="140" t="s">
        <v>1</v>
      </c>
      <c r="B57" s="142" t="s">
        <v>181</v>
      </c>
      <c r="C57" s="143"/>
      <c r="D57" s="143"/>
      <c r="E57" s="143"/>
      <c r="F57" s="143"/>
      <c r="G57" s="144"/>
    </row>
    <row r="58" spans="1:7" ht="15.75" thickBot="1">
      <c r="A58" s="141"/>
      <c r="B58" s="145" t="s">
        <v>235</v>
      </c>
      <c r="C58" s="146"/>
      <c r="D58" s="146"/>
      <c r="E58" s="146"/>
      <c r="F58" s="146"/>
      <c r="G58" s="147"/>
    </row>
    <row r="59" spans="1:7" ht="43.5" thickBot="1">
      <c r="A59" s="29"/>
      <c r="B59" s="30" t="s">
        <v>183</v>
      </c>
      <c r="C59" s="31" t="s">
        <v>184</v>
      </c>
      <c r="D59" s="31" t="s">
        <v>185</v>
      </c>
      <c r="E59" s="31" t="s">
        <v>186</v>
      </c>
      <c r="F59" s="31" t="s">
        <v>187</v>
      </c>
      <c r="G59" s="32" t="s">
        <v>188</v>
      </c>
    </row>
    <row r="60" spans="1:7" ht="15.75" thickBot="1">
      <c r="A60" s="33"/>
      <c r="B60" s="34" t="s">
        <v>189</v>
      </c>
      <c r="C60" s="35"/>
      <c r="D60" s="35"/>
      <c r="E60" s="36"/>
      <c r="F60" s="35"/>
      <c r="G60" s="37" t="s">
        <v>236</v>
      </c>
    </row>
    <row r="61" spans="1:7" ht="15.75" thickBot="1">
      <c r="A61" s="38">
        <v>1</v>
      </c>
      <c r="B61" s="39" t="s">
        <v>190</v>
      </c>
      <c r="C61" s="40"/>
      <c r="D61" s="40"/>
      <c r="E61" s="41"/>
      <c r="F61" s="40"/>
      <c r="G61" s="42">
        <f>G62+G63</f>
        <v>23333.464662</v>
      </c>
    </row>
    <row r="62" spans="1:7" ht="15">
      <c r="A62" s="43"/>
      <c r="B62" s="44" t="s">
        <v>191</v>
      </c>
      <c r="C62" s="45" t="s">
        <v>192</v>
      </c>
      <c r="D62" s="46">
        <v>320</v>
      </c>
      <c r="E62" s="8">
        <v>49.72</v>
      </c>
      <c r="F62" s="44">
        <v>320</v>
      </c>
      <c r="G62" s="47">
        <f>E62*F62</f>
        <v>15910.4</v>
      </c>
    </row>
    <row r="63" spans="1:7" ht="15.75" thickBot="1">
      <c r="A63" s="43"/>
      <c r="B63" s="44" t="s">
        <v>193</v>
      </c>
      <c r="C63" s="45" t="s">
        <v>194</v>
      </c>
      <c r="D63" s="46">
        <v>37700</v>
      </c>
      <c r="E63" s="8">
        <v>422.06</v>
      </c>
      <c r="F63" s="44">
        <v>17587.7</v>
      </c>
      <c r="G63" s="47">
        <f>E63*F63/1000</f>
        <v>7423.064662000001</v>
      </c>
    </row>
    <row r="64" spans="1:7" ht="15.75" thickBot="1">
      <c r="A64" s="33">
        <v>2</v>
      </c>
      <c r="B64" s="34" t="s">
        <v>195</v>
      </c>
      <c r="C64" s="35"/>
      <c r="D64" s="35"/>
      <c r="E64" s="36"/>
      <c r="F64" s="35"/>
      <c r="G64" s="48">
        <f>G65</f>
        <v>2272</v>
      </c>
    </row>
    <row r="65" spans="1:7" ht="15.75" thickBot="1">
      <c r="A65" s="49"/>
      <c r="B65" s="50" t="s">
        <v>196</v>
      </c>
      <c r="C65" s="50" t="s">
        <v>192</v>
      </c>
      <c r="D65" s="50">
        <v>2240</v>
      </c>
      <c r="E65" s="51">
        <v>7.1</v>
      </c>
      <c r="F65" s="44">
        <v>320</v>
      </c>
      <c r="G65" s="52">
        <f>E65*F65</f>
        <v>2272</v>
      </c>
    </row>
    <row r="66" spans="1:7" ht="15.75" thickBot="1">
      <c r="A66" s="33">
        <v>3</v>
      </c>
      <c r="B66" s="34" t="s">
        <v>197</v>
      </c>
      <c r="C66" s="35"/>
      <c r="D66" s="35"/>
      <c r="E66" s="36"/>
      <c r="F66" s="35"/>
      <c r="G66" s="48">
        <f>G67</f>
        <v>4253.057614</v>
      </c>
    </row>
    <row r="67" spans="1:7" ht="15.75" thickBot="1">
      <c r="A67" s="53"/>
      <c r="B67" s="54" t="s">
        <v>198</v>
      </c>
      <c r="C67" s="55" t="s">
        <v>194</v>
      </c>
      <c r="D67" s="56">
        <v>65800</v>
      </c>
      <c r="E67" s="9">
        <v>241.82</v>
      </c>
      <c r="F67" s="44">
        <v>17587.7</v>
      </c>
      <c r="G67" s="47">
        <f>E67*F67/1000</f>
        <v>4253.057614</v>
      </c>
    </row>
    <row r="68" spans="1:7" ht="15.75" thickBot="1">
      <c r="A68" s="29">
        <v>4</v>
      </c>
      <c r="B68" s="57" t="s">
        <v>199</v>
      </c>
      <c r="C68" s="58" t="s">
        <v>192</v>
      </c>
      <c r="D68" s="58">
        <v>1995</v>
      </c>
      <c r="E68" s="59">
        <v>5.74</v>
      </c>
      <c r="F68" s="44">
        <v>320</v>
      </c>
      <c r="G68" s="60">
        <f>E68*F68</f>
        <v>1836.8000000000002</v>
      </c>
    </row>
    <row r="69" spans="1:7" ht="15.75" thickBot="1">
      <c r="A69" s="33">
        <v>5</v>
      </c>
      <c r="B69" s="34" t="s">
        <v>200</v>
      </c>
      <c r="C69" s="35"/>
      <c r="D69" s="35"/>
      <c r="E69" s="36"/>
      <c r="F69" s="35"/>
      <c r="G69" s="48">
        <f>G70</f>
        <v>4261.675587000001</v>
      </c>
    </row>
    <row r="70" spans="1:7" ht="15.75" thickBot="1">
      <c r="A70" s="43"/>
      <c r="B70" s="44" t="s">
        <v>201</v>
      </c>
      <c r="C70" s="45" t="s">
        <v>194</v>
      </c>
      <c r="D70" s="46">
        <v>55800</v>
      </c>
      <c r="E70" s="8">
        <v>242.31</v>
      </c>
      <c r="F70" s="44">
        <v>17587.7</v>
      </c>
      <c r="G70" s="47">
        <f>E70*F70/1000</f>
        <v>4261.675587000001</v>
      </c>
    </row>
    <row r="71" spans="1:7" ht="15.75" thickBot="1">
      <c r="A71" s="33">
        <v>6</v>
      </c>
      <c r="B71" s="34" t="s">
        <v>202</v>
      </c>
      <c r="C71" s="35"/>
      <c r="D71" s="35"/>
      <c r="E71" s="36"/>
      <c r="F71" s="35"/>
      <c r="G71" s="48">
        <f>G72</f>
        <v>0</v>
      </c>
    </row>
    <row r="72" spans="1:7" ht="15.75" thickBot="1">
      <c r="A72" s="43"/>
      <c r="B72" s="44" t="s">
        <v>201</v>
      </c>
      <c r="C72" s="45" t="s">
        <v>194</v>
      </c>
      <c r="D72" s="46">
        <v>68000</v>
      </c>
      <c r="E72" s="8">
        <v>0</v>
      </c>
      <c r="F72" s="44">
        <v>17587.7</v>
      </c>
      <c r="G72" s="47">
        <f>E72*F72/1000</f>
        <v>0</v>
      </c>
    </row>
    <row r="73" spans="1:7" ht="15" thickBot="1">
      <c r="A73" s="33">
        <v>7</v>
      </c>
      <c r="B73" s="34" t="s">
        <v>203</v>
      </c>
      <c r="C73" s="34"/>
      <c r="D73" s="34"/>
      <c r="E73" s="34"/>
      <c r="F73" s="34"/>
      <c r="G73" s="48">
        <f>G74</f>
        <v>0</v>
      </c>
    </row>
    <row r="74" spans="1:7" ht="15.75" thickBot="1">
      <c r="A74" s="61"/>
      <c r="B74" s="44" t="s">
        <v>201</v>
      </c>
      <c r="C74" s="45" t="s">
        <v>194</v>
      </c>
      <c r="D74" s="45">
        <v>67000</v>
      </c>
      <c r="E74" s="45">
        <v>0</v>
      </c>
      <c r="F74" s="44">
        <v>17587.7</v>
      </c>
      <c r="G74" s="47">
        <f>E74*F74/1000</f>
        <v>0</v>
      </c>
    </row>
    <row r="75" spans="1:7" ht="15.75" thickBot="1">
      <c r="A75" s="33">
        <v>9</v>
      </c>
      <c r="B75" s="62" t="s">
        <v>204</v>
      </c>
      <c r="C75" s="35"/>
      <c r="D75" s="35"/>
      <c r="E75" s="35"/>
      <c r="F75" s="35"/>
      <c r="G75" s="48">
        <f>G76</f>
        <v>2083.1277959999998</v>
      </c>
    </row>
    <row r="76" spans="1:7" ht="15.75" thickBot="1">
      <c r="A76" s="61"/>
      <c r="B76" s="45" t="s">
        <v>205</v>
      </c>
      <c r="C76" s="45" t="s">
        <v>194</v>
      </c>
      <c r="D76" s="45">
        <v>13100</v>
      </c>
      <c r="E76" s="45">
        <v>1032.12</v>
      </c>
      <c r="F76" s="45">
        <v>2018.3</v>
      </c>
      <c r="G76" s="63">
        <f>E76*F76/1000</f>
        <v>2083.1277959999998</v>
      </c>
    </row>
    <row r="77" spans="1:7" ht="15" thickBot="1">
      <c r="A77" s="33">
        <v>10</v>
      </c>
      <c r="B77" s="34" t="s">
        <v>45</v>
      </c>
      <c r="C77" s="34" t="s">
        <v>194</v>
      </c>
      <c r="D77" s="34"/>
      <c r="E77" s="64"/>
      <c r="F77" s="34"/>
      <c r="G77" s="65">
        <f>G78</f>
        <v>15150.975138</v>
      </c>
    </row>
    <row r="78" spans="1:7" ht="15.75" thickBot="1">
      <c r="A78" s="66"/>
      <c r="B78" s="67" t="s">
        <v>206</v>
      </c>
      <c r="C78" s="67"/>
      <c r="D78" s="68">
        <v>1900</v>
      </c>
      <c r="E78" s="6">
        <v>4339.14</v>
      </c>
      <c r="F78" s="69">
        <v>3491.7</v>
      </c>
      <c r="G78" s="63">
        <f>E78*F78/1000</f>
        <v>15150.975138</v>
      </c>
    </row>
    <row r="79" spans="1:7" ht="15" thickBot="1">
      <c r="A79" s="33">
        <v>11</v>
      </c>
      <c r="B79" s="34" t="s">
        <v>102</v>
      </c>
      <c r="C79" s="34" t="s">
        <v>194</v>
      </c>
      <c r="D79" s="34"/>
      <c r="E79" s="64"/>
      <c r="F79" s="34"/>
      <c r="G79" s="65">
        <f>G80</f>
        <v>18827.11344</v>
      </c>
    </row>
    <row r="80" spans="1:7" ht="15.75" thickBot="1">
      <c r="A80" s="66"/>
      <c r="B80" s="67" t="s">
        <v>207</v>
      </c>
      <c r="C80" s="67"/>
      <c r="D80" s="68">
        <v>1100</v>
      </c>
      <c r="E80" s="6">
        <v>7494.87</v>
      </c>
      <c r="F80" s="69">
        <v>2512</v>
      </c>
      <c r="G80" s="63">
        <f>E80*F80/1000</f>
        <v>18827.11344</v>
      </c>
    </row>
    <row r="81" spans="1:7" ht="15" thickBot="1">
      <c r="A81" s="33">
        <v>12</v>
      </c>
      <c r="B81" s="34" t="s">
        <v>103</v>
      </c>
      <c r="C81" s="34" t="s">
        <v>208</v>
      </c>
      <c r="D81" s="34"/>
      <c r="E81" s="64"/>
      <c r="F81" s="34"/>
      <c r="G81" s="65">
        <f>G82</f>
        <v>6190.799999999999</v>
      </c>
    </row>
    <row r="82" spans="1:7" ht="15.75" thickBot="1">
      <c r="A82" s="38"/>
      <c r="B82" s="50" t="s">
        <v>209</v>
      </c>
      <c r="C82" s="50"/>
      <c r="D82" s="70">
        <v>1250</v>
      </c>
      <c r="E82" s="51">
        <v>6.6</v>
      </c>
      <c r="F82" s="71">
        <v>938</v>
      </c>
      <c r="G82" s="72">
        <f>E82*F82</f>
        <v>6190.799999999999</v>
      </c>
    </row>
    <row r="83" spans="1:7" ht="15">
      <c r="A83" s="73">
        <v>13</v>
      </c>
      <c r="B83" s="74" t="s">
        <v>210</v>
      </c>
      <c r="C83" s="75" t="s">
        <v>211</v>
      </c>
      <c r="D83" s="76" t="s">
        <v>212</v>
      </c>
      <c r="E83" s="6">
        <v>4542.6</v>
      </c>
      <c r="F83" s="77">
        <v>8</v>
      </c>
      <c r="G83" s="78">
        <f>E83*F83</f>
        <v>36340.8</v>
      </c>
    </row>
    <row r="84" spans="1:7" ht="15.75" thickBot="1">
      <c r="A84" s="49"/>
      <c r="B84" s="79" t="s">
        <v>237</v>
      </c>
      <c r="C84" s="50"/>
      <c r="D84" s="70"/>
      <c r="E84" s="51"/>
      <c r="F84" s="71"/>
      <c r="G84" s="80">
        <f>G61+G64+G66+G68+G69+G71+G73+G75+G77+G79+G81+G83</f>
        <v>114549.81423700001</v>
      </c>
    </row>
    <row r="85" spans="1:7" ht="15">
      <c r="A85" s="73">
        <v>14</v>
      </c>
      <c r="B85" s="74" t="s">
        <v>214</v>
      </c>
      <c r="C85" s="75"/>
      <c r="D85" s="81"/>
      <c r="E85" s="6"/>
      <c r="F85" s="77"/>
      <c r="G85" s="78">
        <f>G84*0.112</f>
        <v>12829.579194544001</v>
      </c>
    </row>
    <row r="86" spans="1:7" ht="15">
      <c r="A86" s="43">
        <v>15</v>
      </c>
      <c r="B86" s="82" t="s">
        <v>95</v>
      </c>
      <c r="C86" s="45"/>
      <c r="D86" s="46"/>
      <c r="E86" s="8"/>
      <c r="F86" s="44"/>
      <c r="G86" s="83">
        <f>G85*0.2</f>
        <v>2565.9158389088007</v>
      </c>
    </row>
    <row r="87" spans="1:7" ht="15.75" thickBot="1">
      <c r="A87" s="84">
        <v>16</v>
      </c>
      <c r="B87" s="85" t="s">
        <v>91</v>
      </c>
      <c r="C87" s="86"/>
      <c r="D87" s="87"/>
      <c r="E87" s="51"/>
      <c r="F87" s="88"/>
      <c r="G87" s="89">
        <f>G88+G89+G90+G91+G92+G94+G95+G98+G99+G100+G101</f>
        <v>25702.35683333333</v>
      </c>
    </row>
    <row r="88" spans="1:7" ht="15">
      <c r="A88" s="90"/>
      <c r="B88" s="75" t="s">
        <v>105</v>
      </c>
      <c r="C88" s="75" t="s">
        <v>194</v>
      </c>
      <c r="D88" s="81"/>
      <c r="E88" s="6">
        <v>0.83</v>
      </c>
      <c r="F88" s="44">
        <v>17587.7</v>
      </c>
      <c r="G88" s="91">
        <f>E88*F88</f>
        <v>14597.791</v>
      </c>
    </row>
    <row r="89" spans="1:7" ht="15">
      <c r="A89" s="61"/>
      <c r="B89" s="45" t="s">
        <v>215</v>
      </c>
      <c r="C89" s="45" t="s">
        <v>194</v>
      </c>
      <c r="D89" s="46"/>
      <c r="E89" s="8">
        <v>0.05</v>
      </c>
      <c r="F89" s="44">
        <v>1758.7</v>
      </c>
      <c r="G89" s="92">
        <f>E89*F89</f>
        <v>87.935</v>
      </c>
    </row>
    <row r="90" spans="1:7" ht="15">
      <c r="A90" s="61"/>
      <c r="B90" s="45" t="s">
        <v>216</v>
      </c>
      <c r="C90" s="45" t="s">
        <v>194</v>
      </c>
      <c r="D90" s="46"/>
      <c r="E90" s="93">
        <v>0.08</v>
      </c>
      <c r="F90" s="44">
        <v>1758.7</v>
      </c>
      <c r="G90" s="92">
        <f>E90*F90</f>
        <v>140.696</v>
      </c>
    </row>
    <row r="91" spans="1:7" ht="15">
      <c r="A91" s="94"/>
      <c r="B91" s="45" t="s">
        <v>217</v>
      </c>
      <c r="C91" s="45" t="s">
        <v>194</v>
      </c>
      <c r="D91" s="46"/>
      <c r="E91" s="45">
        <v>0.01</v>
      </c>
      <c r="F91" s="44">
        <v>17587.7</v>
      </c>
      <c r="G91" s="92">
        <f>E91*F91</f>
        <v>175.877</v>
      </c>
    </row>
    <row r="92" spans="1:7" ht="15">
      <c r="A92" s="61"/>
      <c r="B92" s="45" t="s">
        <v>218</v>
      </c>
      <c r="C92" s="45" t="s">
        <v>219</v>
      </c>
      <c r="D92" s="46"/>
      <c r="E92" s="8">
        <v>76.1</v>
      </c>
      <c r="F92" s="44">
        <v>8</v>
      </c>
      <c r="G92" s="92">
        <f>E92*F92</f>
        <v>608.8</v>
      </c>
    </row>
    <row r="93" spans="1:7" ht="15">
      <c r="A93" s="61"/>
      <c r="B93" s="45" t="s">
        <v>220</v>
      </c>
      <c r="C93" s="45" t="s">
        <v>219</v>
      </c>
      <c r="D93" s="46"/>
      <c r="E93" s="8">
        <v>0</v>
      </c>
      <c r="F93" s="44">
        <v>8</v>
      </c>
      <c r="G93" s="92">
        <v>0</v>
      </c>
    </row>
    <row r="94" spans="1:7" ht="15">
      <c r="A94" s="61"/>
      <c r="B94" s="45" t="s">
        <v>221</v>
      </c>
      <c r="C94" s="45" t="s">
        <v>219</v>
      </c>
      <c r="D94" s="46"/>
      <c r="E94" s="8">
        <v>906.58</v>
      </c>
      <c r="F94" s="44">
        <v>8</v>
      </c>
      <c r="G94" s="92">
        <f>E94*F94</f>
        <v>7252.64</v>
      </c>
    </row>
    <row r="95" spans="1:7" ht="15">
      <c r="A95" s="61"/>
      <c r="B95" s="45" t="s">
        <v>222</v>
      </c>
      <c r="C95" s="45" t="s">
        <v>219</v>
      </c>
      <c r="D95" s="46"/>
      <c r="E95" s="93">
        <v>91.24</v>
      </c>
      <c r="F95" s="44">
        <v>8</v>
      </c>
      <c r="G95" s="92">
        <f>E95*F95</f>
        <v>729.92</v>
      </c>
    </row>
    <row r="96" spans="1:7" ht="15">
      <c r="A96" s="61"/>
      <c r="B96" s="45" t="s">
        <v>223</v>
      </c>
      <c r="C96" s="45" t="s">
        <v>194</v>
      </c>
      <c r="D96" s="46"/>
      <c r="E96" s="8">
        <v>1.2</v>
      </c>
      <c r="F96" s="44">
        <v>0</v>
      </c>
      <c r="G96" s="95">
        <v>0</v>
      </c>
    </row>
    <row r="97" spans="1:7" ht="15">
      <c r="A97" s="61"/>
      <c r="B97" s="45" t="s">
        <v>224</v>
      </c>
      <c r="C97" s="45" t="s">
        <v>219</v>
      </c>
      <c r="D97" s="46"/>
      <c r="E97" s="93">
        <f>104.9/12</f>
        <v>8.741666666666667</v>
      </c>
      <c r="F97" s="44">
        <v>0</v>
      </c>
      <c r="G97" s="95">
        <v>0</v>
      </c>
    </row>
    <row r="98" spans="1:7" ht="15">
      <c r="A98" s="61"/>
      <c r="B98" s="45" t="s">
        <v>225</v>
      </c>
      <c r="C98" s="45" t="s">
        <v>194</v>
      </c>
      <c r="D98" s="46"/>
      <c r="E98" s="8">
        <v>0.32</v>
      </c>
      <c r="F98" s="44">
        <v>17587.7</v>
      </c>
      <c r="G98" s="92">
        <f>E98*F98/12</f>
        <v>469.00533333333334</v>
      </c>
    </row>
    <row r="99" spans="1:7" ht="15">
      <c r="A99" s="61"/>
      <c r="B99" s="45" t="s">
        <v>226</v>
      </c>
      <c r="C99" s="45" t="s">
        <v>194</v>
      </c>
      <c r="D99" s="46"/>
      <c r="E99" s="8">
        <v>0.3</v>
      </c>
      <c r="F99" s="44">
        <v>17587.7</v>
      </c>
      <c r="G99" s="92">
        <f>E99*F99/12</f>
        <v>439.69250000000005</v>
      </c>
    </row>
    <row r="100" spans="1:7" ht="15">
      <c r="A100" s="61"/>
      <c r="B100" s="45" t="s">
        <v>227</v>
      </c>
      <c r="C100" s="45" t="s">
        <v>219</v>
      </c>
      <c r="D100" s="46"/>
      <c r="E100" s="8">
        <v>300</v>
      </c>
      <c r="F100" s="44">
        <v>2</v>
      </c>
      <c r="G100" s="92">
        <f>E100*F100</f>
        <v>600</v>
      </c>
    </row>
    <row r="101" spans="1:7" ht="15.75" thickBot="1">
      <c r="A101" s="96"/>
      <c r="B101" s="50" t="s">
        <v>238</v>
      </c>
      <c r="C101" s="50" t="s">
        <v>219</v>
      </c>
      <c r="D101" s="70"/>
      <c r="E101" s="51">
        <v>300</v>
      </c>
      <c r="F101" s="71">
        <v>2</v>
      </c>
      <c r="G101" s="72">
        <f>E101*F101</f>
        <v>600</v>
      </c>
    </row>
    <row r="102" spans="1:7" ht="15">
      <c r="A102" s="66">
        <v>17</v>
      </c>
      <c r="B102" s="97" t="s">
        <v>229</v>
      </c>
      <c r="C102" s="67"/>
      <c r="D102" s="68"/>
      <c r="E102" s="6"/>
      <c r="F102" s="69"/>
      <c r="G102" s="98">
        <f>G103+G104</f>
        <v>243.56362983333332</v>
      </c>
    </row>
    <row r="103" spans="1:7" ht="15">
      <c r="A103" s="43"/>
      <c r="B103" s="44" t="s">
        <v>230</v>
      </c>
      <c r="C103" s="45" t="s">
        <v>231</v>
      </c>
      <c r="D103" s="46"/>
      <c r="E103" s="93">
        <f>1.1*15.51*1.1</f>
        <v>18.767100000000003</v>
      </c>
      <c r="F103" s="44">
        <v>52.18</v>
      </c>
      <c r="G103" s="92">
        <f>E103*F103/12</f>
        <v>81.60560650000001</v>
      </c>
    </row>
    <row r="104" spans="1:7" ht="15">
      <c r="A104" s="43"/>
      <c r="B104" s="44" t="s">
        <v>232</v>
      </c>
      <c r="C104" s="45" t="s">
        <v>231</v>
      </c>
      <c r="D104" s="46"/>
      <c r="E104" s="93">
        <f>1.1*33.86</f>
        <v>37.246</v>
      </c>
      <c r="F104" s="44">
        <v>52.18</v>
      </c>
      <c r="G104" s="92">
        <f>E104*F104/12</f>
        <v>161.95802333333333</v>
      </c>
    </row>
    <row r="105" spans="1:7" ht="15">
      <c r="A105" s="43">
        <v>18</v>
      </c>
      <c r="B105" s="99" t="s">
        <v>107</v>
      </c>
      <c r="C105" s="45" t="s">
        <v>194</v>
      </c>
      <c r="D105" s="46"/>
      <c r="E105" s="8">
        <v>0.5</v>
      </c>
      <c r="F105" s="44">
        <v>17587.7</v>
      </c>
      <c r="G105" s="100">
        <f>E105*F105</f>
        <v>8793.85</v>
      </c>
    </row>
    <row r="106" spans="1:7" ht="15.75" thickBot="1">
      <c r="A106" s="43">
        <v>19</v>
      </c>
      <c r="B106" s="99" t="s">
        <v>239</v>
      </c>
      <c r="C106" s="45" t="s">
        <v>194</v>
      </c>
      <c r="D106" s="46"/>
      <c r="E106" s="8">
        <v>1.1</v>
      </c>
      <c r="F106" s="44">
        <v>17587.7</v>
      </c>
      <c r="G106" s="83">
        <f>E106*F106</f>
        <v>19346.47</v>
      </c>
    </row>
    <row r="107" spans="1:7" ht="15">
      <c r="A107" s="73"/>
      <c r="B107" s="101" t="s">
        <v>234</v>
      </c>
      <c r="C107" s="75"/>
      <c r="D107" s="81"/>
      <c r="E107" s="6"/>
      <c r="F107" s="77"/>
      <c r="G107" s="78">
        <f>G84+G85+G86+G87+G102+G105+G106</f>
        <v>184031.5497336195</v>
      </c>
    </row>
    <row r="108" spans="1:7" ht="15">
      <c r="A108" s="44" t="s">
        <v>252</v>
      </c>
      <c r="B108" s="45"/>
      <c r="C108" s="46"/>
      <c r="D108" s="8"/>
      <c r="E108" s="44"/>
      <c r="F108" s="44"/>
      <c r="G108" s="102">
        <f>G107/F63</f>
        <v>10.463650718037009</v>
      </c>
    </row>
    <row r="109" spans="1:7" ht="15">
      <c r="A109" s="53"/>
      <c r="B109" s="54"/>
      <c r="C109" s="55"/>
      <c r="D109" s="103"/>
      <c r="E109" s="8"/>
      <c r="F109" s="54"/>
      <c r="G109" s="104"/>
    </row>
    <row r="110" spans="1:7" ht="14.25">
      <c r="A110" s="105"/>
      <c r="B110" s="106"/>
      <c r="C110" s="107"/>
      <c r="D110" s="11"/>
      <c r="E110" s="108"/>
      <c r="F110" s="109"/>
      <c r="G110" s="110"/>
    </row>
    <row r="111" spans="1:7" ht="15" thickBot="1">
      <c r="A111" s="49">
        <v>20</v>
      </c>
      <c r="B111" s="79" t="s">
        <v>56</v>
      </c>
      <c r="C111" s="79"/>
      <c r="D111" s="111"/>
      <c r="E111" s="112">
        <v>2.64</v>
      </c>
      <c r="F111" s="114">
        <f>F63</f>
        <v>17587.7</v>
      </c>
      <c r="G111" s="113">
        <f>E111*F111</f>
        <v>46431.528000000006</v>
      </c>
    </row>
    <row r="112" ht="15.75" thickBot="1"/>
    <row r="113" spans="1:7" ht="15">
      <c r="A113" s="140" t="s">
        <v>1</v>
      </c>
      <c r="B113" s="142" t="s">
        <v>181</v>
      </c>
      <c r="C113" s="143"/>
      <c r="D113" s="143"/>
      <c r="E113" s="143"/>
      <c r="F113" s="143"/>
      <c r="G113" s="144"/>
    </row>
    <row r="114" spans="1:7" ht="15.75" thickBot="1">
      <c r="A114" s="141"/>
      <c r="B114" s="145" t="s">
        <v>240</v>
      </c>
      <c r="C114" s="146"/>
      <c r="D114" s="146"/>
      <c r="E114" s="146"/>
      <c r="F114" s="146"/>
      <c r="G114" s="147"/>
    </row>
    <row r="115" spans="1:7" ht="41.25" customHeight="1" thickBot="1">
      <c r="A115" s="29"/>
      <c r="B115" s="30" t="s">
        <v>183</v>
      </c>
      <c r="C115" s="31" t="s">
        <v>184</v>
      </c>
      <c r="D115" s="31" t="s">
        <v>185</v>
      </c>
      <c r="E115" s="31" t="s">
        <v>186</v>
      </c>
      <c r="F115" s="31" t="s">
        <v>187</v>
      </c>
      <c r="G115" s="32" t="s">
        <v>188</v>
      </c>
    </row>
    <row r="116" spans="1:7" ht="15.75" thickBot="1">
      <c r="A116" s="33"/>
      <c r="B116" s="34" t="s">
        <v>189</v>
      </c>
      <c r="C116" s="35"/>
      <c r="D116" s="35"/>
      <c r="E116" s="36"/>
      <c r="F116" s="35"/>
      <c r="G116" s="37" t="s">
        <v>236</v>
      </c>
    </row>
    <row r="117" spans="1:7" ht="15.75" thickBot="1">
      <c r="A117" s="38">
        <v>1</v>
      </c>
      <c r="B117" s="39" t="s">
        <v>190</v>
      </c>
      <c r="C117" s="40"/>
      <c r="D117" s="40"/>
      <c r="E117" s="41"/>
      <c r="F117" s="40"/>
      <c r="G117" s="42">
        <f>G118+G119</f>
        <v>6923.827126</v>
      </c>
    </row>
    <row r="118" spans="1:7" ht="15">
      <c r="A118" s="43"/>
      <c r="B118" s="44" t="s">
        <v>191</v>
      </c>
      <c r="C118" s="45" t="s">
        <v>192</v>
      </c>
      <c r="D118" s="46">
        <v>320</v>
      </c>
      <c r="E118" s="8">
        <v>49.72</v>
      </c>
      <c r="F118" s="44">
        <v>108</v>
      </c>
      <c r="G118" s="47">
        <f>E118*F118</f>
        <v>5369.76</v>
      </c>
    </row>
    <row r="119" spans="1:7" ht="15.75" thickBot="1">
      <c r="A119" s="43"/>
      <c r="B119" s="44" t="s">
        <v>193</v>
      </c>
      <c r="C119" s="45" t="s">
        <v>194</v>
      </c>
      <c r="D119" s="46">
        <v>37700</v>
      </c>
      <c r="E119" s="8">
        <v>422.06</v>
      </c>
      <c r="F119" s="44">
        <v>3682.1</v>
      </c>
      <c r="G119" s="47">
        <f>E119*F119/1000</f>
        <v>1554.067126</v>
      </c>
    </row>
    <row r="120" spans="1:7" ht="15.75" thickBot="1">
      <c r="A120" s="33">
        <v>2</v>
      </c>
      <c r="B120" s="34" t="s">
        <v>195</v>
      </c>
      <c r="C120" s="35"/>
      <c r="D120" s="35"/>
      <c r="E120" s="36"/>
      <c r="F120" s="35"/>
      <c r="G120" s="48">
        <f>G121</f>
        <v>766.8</v>
      </c>
    </row>
    <row r="121" spans="1:7" ht="15.75" thickBot="1">
      <c r="A121" s="49"/>
      <c r="B121" s="50" t="s">
        <v>196</v>
      </c>
      <c r="C121" s="50" t="s">
        <v>192</v>
      </c>
      <c r="D121" s="50">
        <v>2240</v>
      </c>
      <c r="E121" s="51">
        <v>7.1</v>
      </c>
      <c r="F121" s="44">
        <v>108</v>
      </c>
      <c r="G121" s="52">
        <f>E121*F121</f>
        <v>766.8</v>
      </c>
    </row>
    <row r="122" spans="1:7" ht="15.75" thickBot="1">
      <c r="A122" s="33">
        <v>3</v>
      </c>
      <c r="B122" s="34" t="s">
        <v>197</v>
      </c>
      <c r="C122" s="35"/>
      <c r="D122" s="35"/>
      <c r="E122" s="36"/>
      <c r="F122" s="35"/>
      <c r="G122" s="48">
        <f>G123</f>
        <v>890.4054219999999</v>
      </c>
    </row>
    <row r="123" spans="1:7" ht="15.75" thickBot="1">
      <c r="A123" s="53"/>
      <c r="B123" s="54" t="s">
        <v>198</v>
      </c>
      <c r="C123" s="55" t="s">
        <v>194</v>
      </c>
      <c r="D123" s="56">
        <v>65800</v>
      </c>
      <c r="E123" s="9">
        <v>241.82</v>
      </c>
      <c r="F123" s="44">
        <v>3682.1</v>
      </c>
      <c r="G123" s="47">
        <f>E123*F123/1000</f>
        <v>890.4054219999999</v>
      </c>
    </row>
    <row r="124" spans="1:7" ht="15.75" thickBot="1">
      <c r="A124" s="29">
        <v>4</v>
      </c>
      <c r="B124" s="57" t="s">
        <v>199</v>
      </c>
      <c r="C124" s="58" t="s">
        <v>192</v>
      </c>
      <c r="D124" s="58">
        <v>1995</v>
      </c>
      <c r="E124" s="59">
        <v>5.74</v>
      </c>
      <c r="F124" s="44">
        <v>108</v>
      </c>
      <c r="G124" s="60">
        <f>E124*F124</f>
        <v>619.9200000000001</v>
      </c>
    </row>
    <row r="125" spans="1:7" ht="15.75" thickBot="1">
      <c r="A125" s="33">
        <v>5</v>
      </c>
      <c r="B125" s="34" t="s">
        <v>200</v>
      </c>
      <c r="C125" s="35"/>
      <c r="D125" s="35"/>
      <c r="E125" s="36"/>
      <c r="F125" s="35"/>
      <c r="G125" s="48">
        <f>G126</f>
        <v>892.209651</v>
      </c>
    </row>
    <row r="126" spans="1:7" ht="15.75" thickBot="1">
      <c r="A126" s="43"/>
      <c r="B126" s="44" t="s">
        <v>201</v>
      </c>
      <c r="C126" s="45" t="s">
        <v>194</v>
      </c>
      <c r="D126" s="46">
        <v>55800</v>
      </c>
      <c r="E126" s="8">
        <v>242.31</v>
      </c>
      <c r="F126" s="44">
        <v>3682.1</v>
      </c>
      <c r="G126" s="47">
        <f>E126*F126/1000</f>
        <v>892.209651</v>
      </c>
    </row>
    <row r="127" spans="1:7" ht="15.75" thickBot="1">
      <c r="A127" s="33">
        <v>6</v>
      </c>
      <c r="B127" s="34" t="s">
        <v>202</v>
      </c>
      <c r="C127" s="35"/>
      <c r="D127" s="35"/>
      <c r="E127" s="36"/>
      <c r="F127" s="35"/>
      <c r="G127" s="48">
        <f>G128</f>
        <v>620.507492</v>
      </c>
    </row>
    <row r="128" spans="1:7" ht="15.75" thickBot="1">
      <c r="A128" s="43"/>
      <c r="B128" s="44" t="s">
        <v>201</v>
      </c>
      <c r="C128" s="45" t="s">
        <v>194</v>
      </c>
      <c r="D128" s="46">
        <v>68000</v>
      </c>
      <c r="E128" s="8">
        <v>168.52</v>
      </c>
      <c r="F128" s="44">
        <v>3682.1</v>
      </c>
      <c r="G128" s="47">
        <f>E128*F128/1000</f>
        <v>620.507492</v>
      </c>
    </row>
    <row r="129" spans="1:7" ht="15" thickBot="1">
      <c r="A129" s="33">
        <v>7</v>
      </c>
      <c r="B129" s="34" t="s">
        <v>203</v>
      </c>
      <c r="C129" s="34"/>
      <c r="D129" s="34"/>
      <c r="E129" s="34"/>
      <c r="F129" s="34"/>
      <c r="G129" s="48">
        <f>G130</f>
        <v>496.34708</v>
      </c>
    </row>
    <row r="130" spans="1:7" ht="15.75" thickBot="1">
      <c r="A130" s="61"/>
      <c r="B130" s="44" t="s">
        <v>201</v>
      </c>
      <c r="C130" s="45" t="s">
        <v>194</v>
      </c>
      <c r="D130" s="45">
        <v>67000</v>
      </c>
      <c r="E130" s="45">
        <v>134.8</v>
      </c>
      <c r="F130" s="44">
        <v>3682.1</v>
      </c>
      <c r="G130" s="47">
        <f>E130*F130/1000</f>
        <v>496.34708</v>
      </c>
    </row>
    <row r="131" spans="1:7" ht="15.75" thickBot="1">
      <c r="A131" s="33">
        <v>9</v>
      </c>
      <c r="B131" s="62" t="s">
        <v>204</v>
      </c>
      <c r="C131" s="35"/>
      <c r="D131" s="35"/>
      <c r="E131" s="35"/>
      <c r="F131" s="35"/>
      <c r="G131" s="48">
        <f>G132</f>
        <v>487.16063999999994</v>
      </c>
    </row>
    <row r="132" spans="1:7" ht="15.75" thickBot="1">
      <c r="A132" s="61"/>
      <c r="B132" s="45" t="s">
        <v>205</v>
      </c>
      <c r="C132" s="45" t="s">
        <v>194</v>
      </c>
      <c r="D132" s="45">
        <v>13100</v>
      </c>
      <c r="E132" s="45">
        <v>1032.12</v>
      </c>
      <c r="F132" s="45">
        <v>472</v>
      </c>
      <c r="G132" s="63">
        <f>E132*F132/1000</f>
        <v>487.16063999999994</v>
      </c>
    </row>
    <row r="133" spans="1:7" ht="15" thickBot="1">
      <c r="A133" s="33">
        <v>10</v>
      </c>
      <c r="B133" s="34" t="s">
        <v>45</v>
      </c>
      <c r="C133" s="34" t="s">
        <v>194</v>
      </c>
      <c r="D133" s="34"/>
      <c r="E133" s="64"/>
      <c r="F133" s="34"/>
      <c r="G133" s="65">
        <f>G134</f>
        <v>2189.9639580000003</v>
      </c>
    </row>
    <row r="134" spans="1:7" ht="15.75" thickBot="1">
      <c r="A134" s="66"/>
      <c r="B134" s="67" t="s">
        <v>206</v>
      </c>
      <c r="C134" s="67"/>
      <c r="D134" s="68">
        <v>1900</v>
      </c>
      <c r="E134" s="6">
        <v>4339.14</v>
      </c>
      <c r="F134" s="69">
        <v>504.7</v>
      </c>
      <c r="G134" s="63">
        <f>E134*F134/1000</f>
        <v>2189.9639580000003</v>
      </c>
    </row>
    <row r="135" spans="1:7" ht="15" thickBot="1">
      <c r="A135" s="33">
        <v>11</v>
      </c>
      <c r="B135" s="34" t="s">
        <v>102</v>
      </c>
      <c r="C135" s="34" t="s">
        <v>194</v>
      </c>
      <c r="D135" s="34"/>
      <c r="E135" s="64"/>
      <c r="F135" s="34"/>
      <c r="G135" s="65">
        <f>G136</f>
        <v>1568.676291</v>
      </c>
    </row>
    <row r="136" spans="1:7" ht="15.75" thickBot="1">
      <c r="A136" s="66"/>
      <c r="B136" s="67" t="s">
        <v>207</v>
      </c>
      <c r="C136" s="67"/>
      <c r="D136" s="68">
        <v>1100</v>
      </c>
      <c r="E136" s="6">
        <v>7494.87</v>
      </c>
      <c r="F136" s="69">
        <v>209.3</v>
      </c>
      <c r="G136" s="63">
        <f>E136*F136/1000</f>
        <v>1568.676291</v>
      </c>
    </row>
    <row r="137" spans="1:7" ht="15" thickBot="1">
      <c r="A137" s="33">
        <v>12</v>
      </c>
      <c r="B137" s="34" t="s">
        <v>103</v>
      </c>
      <c r="C137" s="34" t="s">
        <v>208</v>
      </c>
      <c r="D137" s="34"/>
      <c r="E137" s="64"/>
      <c r="F137" s="34"/>
      <c r="G137" s="65">
        <f>G138</f>
        <v>1346.3999999999999</v>
      </c>
    </row>
    <row r="138" spans="1:7" ht="15.75" thickBot="1">
      <c r="A138" s="38"/>
      <c r="B138" s="50" t="s">
        <v>209</v>
      </c>
      <c r="C138" s="50"/>
      <c r="D138" s="70">
        <v>1250</v>
      </c>
      <c r="E138" s="51">
        <v>6.6</v>
      </c>
      <c r="F138" s="71">
        <v>204</v>
      </c>
      <c r="G138" s="72">
        <f>E138*F138</f>
        <v>1346.3999999999999</v>
      </c>
    </row>
    <row r="139" spans="1:7" ht="15">
      <c r="A139" s="73">
        <v>13</v>
      </c>
      <c r="B139" s="74" t="s">
        <v>210</v>
      </c>
      <c r="C139" s="75" t="s">
        <v>211</v>
      </c>
      <c r="D139" s="76" t="s">
        <v>212</v>
      </c>
      <c r="E139" s="6">
        <v>4542.6</v>
      </c>
      <c r="F139" s="77">
        <v>1</v>
      </c>
      <c r="G139" s="78">
        <f>E139*F139</f>
        <v>4542.6</v>
      </c>
    </row>
    <row r="140" spans="1:7" ht="15.75" thickBot="1">
      <c r="A140" s="49"/>
      <c r="B140" s="79" t="s">
        <v>237</v>
      </c>
      <c r="C140" s="50"/>
      <c r="D140" s="70"/>
      <c r="E140" s="51"/>
      <c r="F140" s="71"/>
      <c r="G140" s="80">
        <f>G117+G120+G122+G124+G125+G127+G129+G131+G133+G135+G137+G139</f>
        <v>21344.81766</v>
      </c>
    </row>
    <row r="141" spans="1:7" ht="15">
      <c r="A141" s="73">
        <v>14</v>
      </c>
      <c r="B141" s="74" t="s">
        <v>214</v>
      </c>
      <c r="C141" s="75"/>
      <c r="D141" s="81"/>
      <c r="E141" s="6"/>
      <c r="F141" s="77"/>
      <c r="G141" s="78">
        <f>G140*0.22</f>
        <v>4695.8598852000005</v>
      </c>
    </row>
    <row r="142" spans="1:7" ht="15">
      <c r="A142" s="43">
        <v>15</v>
      </c>
      <c r="B142" s="82" t="s">
        <v>95</v>
      </c>
      <c r="C142" s="45"/>
      <c r="D142" s="46"/>
      <c r="E142" s="8"/>
      <c r="F142" s="44"/>
      <c r="G142" s="83">
        <f>G141*0.323</f>
        <v>1516.7627429196002</v>
      </c>
    </row>
    <row r="143" spans="1:7" ht="15.75" thickBot="1">
      <c r="A143" s="84">
        <v>16</v>
      </c>
      <c r="B143" s="85" t="s">
        <v>91</v>
      </c>
      <c r="C143" s="86"/>
      <c r="D143" s="87"/>
      <c r="E143" s="51"/>
      <c r="F143" s="88"/>
      <c r="G143" s="89">
        <f>G144+G145+G146+G147+G148+G150+G151+G154+G155+G156+G157</f>
        <v>5004.991833333333</v>
      </c>
    </row>
    <row r="144" spans="1:7" ht="15">
      <c r="A144" s="90"/>
      <c r="B144" s="75" t="s">
        <v>105</v>
      </c>
      <c r="C144" s="75" t="s">
        <v>194</v>
      </c>
      <c r="D144" s="81"/>
      <c r="E144" s="6">
        <v>0.83</v>
      </c>
      <c r="F144" s="44">
        <v>3682.1</v>
      </c>
      <c r="G144" s="91">
        <f>E144*F144</f>
        <v>3056.1429999999996</v>
      </c>
    </row>
    <row r="145" spans="1:7" ht="15">
      <c r="A145" s="61"/>
      <c r="B145" s="45" t="s">
        <v>215</v>
      </c>
      <c r="C145" s="45" t="s">
        <v>194</v>
      </c>
      <c r="D145" s="46"/>
      <c r="E145" s="8">
        <v>0.05</v>
      </c>
      <c r="F145" s="44">
        <v>368.2</v>
      </c>
      <c r="G145" s="92">
        <f>E145*F145</f>
        <v>18.41</v>
      </c>
    </row>
    <row r="146" spans="1:7" ht="15.75" thickBot="1">
      <c r="A146" s="61"/>
      <c r="B146" s="45" t="s">
        <v>216</v>
      </c>
      <c r="C146" s="45" t="s">
        <v>194</v>
      </c>
      <c r="D146" s="46"/>
      <c r="E146" s="93">
        <v>0.08</v>
      </c>
      <c r="F146" s="44">
        <v>368.2</v>
      </c>
      <c r="G146" s="92">
        <f>E146*F146</f>
        <v>29.456</v>
      </c>
    </row>
    <row r="147" spans="1:7" ht="15">
      <c r="A147" s="94"/>
      <c r="B147" s="45" t="s">
        <v>217</v>
      </c>
      <c r="C147" s="45" t="s">
        <v>194</v>
      </c>
      <c r="D147" s="46"/>
      <c r="E147" s="45">
        <v>0.01</v>
      </c>
      <c r="F147" s="77">
        <v>3682.1</v>
      </c>
      <c r="G147" s="92">
        <f>E147*F147</f>
        <v>36.821</v>
      </c>
    </row>
    <row r="148" spans="1:7" ht="15">
      <c r="A148" s="61"/>
      <c r="B148" s="45" t="s">
        <v>218</v>
      </c>
      <c r="C148" s="45" t="s">
        <v>219</v>
      </c>
      <c r="D148" s="46"/>
      <c r="E148" s="8">
        <v>76.1</v>
      </c>
      <c r="F148" s="44">
        <v>1</v>
      </c>
      <c r="G148" s="92">
        <f>E148*F148</f>
        <v>76.1</v>
      </c>
    </row>
    <row r="149" spans="1:7" ht="15">
      <c r="A149" s="61"/>
      <c r="B149" s="45" t="s">
        <v>220</v>
      </c>
      <c r="C149" s="45" t="s">
        <v>219</v>
      </c>
      <c r="D149" s="46"/>
      <c r="E149" s="8">
        <v>0</v>
      </c>
      <c r="F149" s="44">
        <v>1</v>
      </c>
      <c r="G149" s="92">
        <v>0</v>
      </c>
    </row>
    <row r="150" spans="1:7" ht="15">
      <c r="A150" s="61"/>
      <c r="B150" s="45" t="s">
        <v>221</v>
      </c>
      <c r="C150" s="45" t="s">
        <v>219</v>
      </c>
      <c r="D150" s="46"/>
      <c r="E150" s="8">
        <v>906.58</v>
      </c>
      <c r="F150" s="44">
        <v>1</v>
      </c>
      <c r="G150" s="92">
        <f>E150*F150</f>
        <v>906.58</v>
      </c>
    </row>
    <row r="151" spans="1:7" ht="11.25" customHeight="1">
      <c r="A151" s="61"/>
      <c r="B151" s="45" t="s">
        <v>222</v>
      </c>
      <c r="C151" s="45" t="s">
        <v>219</v>
      </c>
      <c r="D151" s="46"/>
      <c r="E151" s="93">
        <v>91.24</v>
      </c>
      <c r="F151" s="44">
        <v>1</v>
      </c>
      <c r="G151" s="92">
        <f>E151*F151</f>
        <v>91.24</v>
      </c>
    </row>
    <row r="152" spans="1:7" ht="15" hidden="1">
      <c r="A152" s="61"/>
      <c r="B152" s="45" t="s">
        <v>223</v>
      </c>
      <c r="C152" s="45" t="s">
        <v>194</v>
      </c>
      <c r="D152" s="46"/>
      <c r="E152" s="8">
        <v>1.2</v>
      </c>
      <c r="F152" s="44">
        <v>0</v>
      </c>
      <c r="G152" s="95">
        <v>0</v>
      </c>
    </row>
    <row r="153" spans="1:7" ht="15" hidden="1">
      <c r="A153" s="61"/>
      <c r="B153" s="45" t="s">
        <v>224</v>
      </c>
      <c r="C153" s="45" t="s">
        <v>219</v>
      </c>
      <c r="D153" s="46"/>
      <c r="E153" s="93">
        <f>104.9/12</f>
        <v>8.741666666666667</v>
      </c>
      <c r="F153" s="44">
        <v>0</v>
      </c>
      <c r="G153" s="95">
        <v>0</v>
      </c>
    </row>
    <row r="154" spans="1:7" ht="15">
      <c r="A154" s="61"/>
      <c r="B154" s="45" t="s">
        <v>225</v>
      </c>
      <c r="C154" s="45" t="s">
        <v>194</v>
      </c>
      <c r="D154" s="46"/>
      <c r="E154" s="8">
        <v>0.32</v>
      </c>
      <c r="F154" s="44">
        <v>3682.1</v>
      </c>
      <c r="G154" s="92">
        <f>E154*F154/12</f>
        <v>98.18933333333332</v>
      </c>
    </row>
    <row r="155" spans="1:7" ht="15">
      <c r="A155" s="61"/>
      <c r="B155" s="45" t="s">
        <v>226</v>
      </c>
      <c r="C155" s="45" t="s">
        <v>194</v>
      </c>
      <c r="D155" s="46"/>
      <c r="E155" s="8">
        <v>0.3</v>
      </c>
      <c r="F155" s="44">
        <v>3682.1</v>
      </c>
      <c r="G155" s="92">
        <f>E155*F155/12</f>
        <v>92.0525</v>
      </c>
    </row>
    <row r="156" spans="1:7" ht="15">
      <c r="A156" s="61"/>
      <c r="B156" s="45" t="s">
        <v>227</v>
      </c>
      <c r="C156" s="45" t="s">
        <v>219</v>
      </c>
      <c r="D156" s="46"/>
      <c r="E156" s="8">
        <v>300</v>
      </c>
      <c r="F156" s="44">
        <v>1</v>
      </c>
      <c r="G156" s="92">
        <f>E156*F156</f>
        <v>300</v>
      </c>
    </row>
    <row r="157" spans="1:7" ht="15.75" thickBot="1">
      <c r="A157" s="96"/>
      <c r="B157" s="50" t="s">
        <v>228</v>
      </c>
      <c r="C157" s="50" t="s">
        <v>219</v>
      </c>
      <c r="D157" s="70"/>
      <c r="E157" s="51">
        <v>300</v>
      </c>
      <c r="F157" s="71">
        <v>1</v>
      </c>
      <c r="G157" s="72">
        <f>E157*F157</f>
        <v>300</v>
      </c>
    </row>
    <row r="158" spans="1:7" ht="15">
      <c r="A158" s="66">
        <v>17</v>
      </c>
      <c r="B158" s="97" t="s">
        <v>229</v>
      </c>
      <c r="C158" s="67"/>
      <c r="D158" s="68"/>
      <c r="E158" s="6"/>
      <c r="F158" s="69"/>
      <c r="G158" s="98">
        <f>G159+G160</f>
        <v>60.2140825</v>
      </c>
    </row>
    <row r="159" spans="1:7" ht="15">
      <c r="A159" s="43"/>
      <c r="B159" s="44" t="s">
        <v>230</v>
      </c>
      <c r="C159" s="45" t="s">
        <v>231</v>
      </c>
      <c r="D159" s="46"/>
      <c r="E159" s="93">
        <f>1.1*15.51*1.1</f>
        <v>18.767100000000003</v>
      </c>
      <c r="F159" s="44">
        <v>12.9</v>
      </c>
      <c r="G159" s="92">
        <f>E159*F159/12</f>
        <v>20.174632500000005</v>
      </c>
    </row>
    <row r="160" spans="1:7" ht="15">
      <c r="A160" s="43"/>
      <c r="B160" s="44" t="s">
        <v>232</v>
      </c>
      <c r="C160" s="45" t="s">
        <v>231</v>
      </c>
      <c r="D160" s="46"/>
      <c r="E160" s="93">
        <f>1.1*33.86</f>
        <v>37.246</v>
      </c>
      <c r="F160" s="44">
        <v>12.9</v>
      </c>
      <c r="G160" s="92">
        <f>E160*F160/12</f>
        <v>40.03945</v>
      </c>
    </row>
    <row r="161" spans="1:7" ht="15">
      <c r="A161" s="43">
        <v>18</v>
      </c>
      <c r="B161" s="99" t="s">
        <v>107</v>
      </c>
      <c r="C161" s="45" t="s">
        <v>194</v>
      </c>
      <c r="D161" s="46"/>
      <c r="E161" s="8">
        <v>0.5</v>
      </c>
      <c r="F161" s="44">
        <v>3682.1</v>
      </c>
      <c r="G161" s="100">
        <f>E161*F161</f>
        <v>1841.05</v>
      </c>
    </row>
    <row r="162" spans="1:7" ht="15.75" thickBot="1">
      <c r="A162" s="43">
        <v>19</v>
      </c>
      <c r="B162" s="99" t="s">
        <v>233</v>
      </c>
      <c r="C162" s="45" t="s">
        <v>194</v>
      </c>
      <c r="D162" s="46"/>
      <c r="E162" s="8">
        <v>1.1</v>
      </c>
      <c r="F162" s="44">
        <v>3682.1</v>
      </c>
      <c r="G162" s="83">
        <f>E162*F162</f>
        <v>4050.3100000000004</v>
      </c>
    </row>
    <row r="163" spans="1:7" ht="15">
      <c r="A163" s="73"/>
      <c r="B163" s="101" t="s">
        <v>234</v>
      </c>
      <c r="C163" s="75"/>
      <c r="D163" s="81"/>
      <c r="E163" s="6"/>
      <c r="F163" s="77"/>
      <c r="G163" s="78">
        <f>G140+G141+G142+G143+G158+G161+G162</f>
        <v>38514.00620395293</v>
      </c>
    </row>
    <row r="164" spans="1:7" ht="15">
      <c r="A164" s="44" t="s">
        <v>252</v>
      </c>
      <c r="B164" s="45"/>
      <c r="C164" s="46"/>
      <c r="D164" s="8"/>
      <c r="E164" s="44"/>
      <c r="F164" s="44"/>
      <c r="G164" s="102">
        <f>G163/F119</f>
        <v>10.459793651436119</v>
      </c>
    </row>
    <row r="165" spans="1:7" ht="15">
      <c r="A165" s="53"/>
      <c r="B165" s="54"/>
      <c r="C165" s="55"/>
      <c r="D165" s="103"/>
      <c r="E165" s="8"/>
      <c r="F165" s="54"/>
      <c r="G165" s="104"/>
    </row>
    <row r="166" spans="1:7" ht="14.25">
      <c r="A166" s="105"/>
      <c r="B166" s="106"/>
      <c r="C166" s="107"/>
      <c r="D166" s="11"/>
      <c r="E166" s="108"/>
      <c r="F166" s="109"/>
      <c r="G166" s="110"/>
    </row>
    <row r="167" spans="1:7" ht="15" thickBot="1">
      <c r="A167" s="49">
        <v>20</v>
      </c>
      <c r="B167" s="79" t="s">
        <v>56</v>
      </c>
      <c r="C167" s="79"/>
      <c r="D167" s="111"/>
      <c r="E167" s="112">
        <v>2.64</v>
      </c>
      <c r="F167" s="114">
        <f>F119</f>
        <v>3682.1</v>
      </c>
      <c r="G167" s="113">
        <f>E167*F167</f>
        <v>9720.744</v>
      </c>
    </row>
    <row r="168" ht="15.75" thickBot="1"/>
    <row r="169" spans="1:7" ht="15">
      <c r="A169" s="140" t="s">
        <v>1</v>
      </c>
      <c r="B169" s="142" t="s">
        <v>181</v>
      </c>
      <c r="C169" s="143"/>
      <c r="D169" s="143"/>
      <c r="E169" s="143"/>
      <c r="F169" s="143"/>
      <c r="G169" s="144"/>
    </row>
    <row r="170" spans="1:7" ht="15.75" thickBot="1">
      <c r="A170" s="141"/>
      <c r="B170" s="145" t="s">
        <v>241</v>
      </c>
      <c r="C170" s="146"/>
      <c r="D170" s="146"/>
      <c r="E170" s="146"/>
      <c r="F170" s="146"/>
      <c r="G170" s="147"/>
    </row>
    <row r="171" spans="1:7" ht="43.5" thickBot="1">
      <c r="A171" s="29"/>
      <c r="B171" s="30" t="s">
        <v>183</v>
      </c>
      <c r="C171" s="31" t="s">
        <v>184</v>
      </c>
      <c r="D171" s="31" t="s">
        <v>185</v>
      </c>
      <c r="E171" s="31" t="s">
        <v>186</v>
      </c>
      <c r="F171" s="31" t="s">
        <v>187</v>
      </c>
      <c r="G171" s="32" t="s">
        <v>188</v>
      </c>
    </row>
    <row r="172" spans="1:7" ht="15.75" thickBot="1">
      <c r="A172" s="33"/>
      <c r="B172" s="34" t="s">
        <v>189</v>
      </c>
      <c r="C172" s="35"/>
      <c r="D172" s="35"/>
      <c r="E172" s="36"/>
      <c r="F172" s="35"/>
      <c r="G172" s="37" t="s">
        <v>236</v>
      </c>
    </row>
    <row r="173" spans="1:7" ht="15.75" thickBot="1">
      <c r="A173" s="38">
        <v>1</v>
      </c>
      <c r="B173" s="39" t="s">
        <v>190</v>
      </c>
      <c r="C173" s="40"/>
      <c r="D173" s="40"/>
      <c r="E173" s="41"/>
      <c r="F173" s="40"/>
      <c r="G173" s="42">
        <f>G174+G175</f>
        <v>6921.294766</v>
      </c>
    </row>
    <row r="174" spans="1:7" ht="15">
      <c r="A174" s="43"/>
      <c r="B174" s="44" t="s">
        <v>191</v>
      </c>
      <c r="C174" s="45" t="s">
        <v>192</v>
      </c>
      <c r="D174" s="46">
        <v>320</v>
      </c>
      <c r="E174" s="8">
        <v>49.72</v>
      </c>
      <c r="F174" s="44">
        <v>108</v>
      </c>
      <c r="G174" s="47">
        <f>E174*F174</f>
        <v>5369.76</v>
      </c>
    </row>
    <row r="175" spans="1:7" ht="15.75" thickBot="1">
      <c r="A175" s="43"/>
      <c r="B175" s="44" t="s">
        <v>193</v>
      </c>
      <c r="C175" s="45" t="s">
        <v>194</v>
      </c>
      <c r="D175" s="46">
        <v>37700</v>
      </c>
      <c r="E175" s="8">
        <v>422.06</v>
      </c>
      <c r="F175" s="44">
        <v>3676.1</v>
      </c>
      <c r="G175" s="47">
        <f>E175*F175/1000</f>
        <v>1551.534766</v>
      </c>
    </row>
    <row r="176" spans="1:7" ht="15.75" thickBot="1">
      <c r="A176" s="33">
        <v>2</v>
      </c>
      <c r="B176" s="34" t="s">
        <v>195</v>
      </c>
      <c r="C176" s="35"/>
      <c r="D176" s="35"/>
      <c r="E176" s="36"/>
      <c r="F176" s="35"/>
      <c r="G176" s="48">
        <f>G177</f>
        <v>766.8</v>
      </c>
    </row>
    <row r="177" spans="1:7" ht="15.75" thickBot="1">
      <c r="A177" s="49"/>
      <c r="B177" s="50" t="s">
        <v>196</v>
      </c>
      <c r="C177" s="50" t="s">
        <v>192</v>
      </c>
      <c r="D177" s="50">
        <v>2240</v>
      </c>
      <c r="E177" s="51">
        <v>7.1</v>
      </c>
      <c r="F177" s="44">
        <v>108</v>
      </c>
      <c r="G177" s="52">
        <f>E177*F177</f>
        <v>766.8</v>
      </c>
    </row>
    <row r="178" spans="1:7" ht="15.75" thickBot="1">
      <c r="A178" s="33">
        <v>3</v>
      </c>
      <c r="B178" s="34" t="s">
        <v>197</v>
      </c>
      <c r="C178" s="35"/>
      <c r="D178" s="35"/>
      <c r="E178" s="36"/>
      <c r="F178" s="35"/>
      <c r="G178" s="48">
        <f>G179</f>
        <v>888.9545019999999</v>
      </c>
    </row>
    <row r="179" spans="1:7" ht="15.75" thickBot="1">
      <c r="A179" s="53"/>
      <c r="B179" s="54" t="s">
        <v>198</v>
      </c>
      <c r="C179" s="55" t="s">
        <v>194</v>
      </c>
      <c r="D179" s="56">
        <v>65800</v>
      </c>
      <c r="E179" s="9">
        <v>241.82</v>
      </c>
      <c r="F179" s="44">
        <v>3676.1</v>
      </c>
      <c r="G179" s="47">
        <f>E179*F179/1000</f>
        <v>888.9545019999999</v>
      </c>
    </row>
    <row r="180" spans="1:7" ht="15.75" thickBot="1">
      <c r="A180" s="29">
        <v>4</v>
      </c>
      <c r="B180" s="57" t="s">
        <v>242</v>
      </c>
      <c r="C180" s="58" t="s">
        <v>192</v>
      </c>
      <c r="D180" s="58">
        <v>1995</v>
      </c>
      <c r="E180" s="59">
        <v>5.74</v>
      </c>
      <c r="F180" s="44">
        <v>108</v>
      </c>
      <c r="G180" s="60">
        <f>E180*F180</f>
        <v>619.9200000000001</v>
      </c>
    </row>
    <row r="181" spans="1:7" ht="15.75" thickBot="1">
      <c r="A181" s="33">
        <v>5</v>
      </c>
      <c r="B181" s="34" t="s">
        <v>200</v>
      </c>
      <c r="C181" s="35"/>
      <c r="D181" s="35"/>
      <c r="E181" s="36"/>
      <c r="F181" s="35"/>
      <c r="G181" s="48">
        <f>G182</f>
        <v>890.7557909999999</v>
      </c>
    </row>
    <row r="182" spans="1:7" ht="15.75" thickBot="1">
      <c r="A182" s="43"/>
      <c r="B182" s="44" t="s">
        <v>201</v>
      </c>
      <c r="C182" s="45" t="s">
        <v>194</v>
      </c>
      <c r="D182" s="46">
        <v>55800</v>
      </c>
      <c r="E182" s="8">
        <v>242.31</v>
      </c>
      <c r="F182" s="44">
        <v>3676.1</v>
      </c>
      <c r="G182" s="47">
        <f>E182*F182/1000</f>
        <v>890.7557909999999</v>
      </c>
    </row>
    <row r="183" spans="1:7" ht="15.75" thickBot="1">
      <c r="A183" s="33">
        <v>6</v>
      </c>
      <c r="B183" s="34" t="s">
        <v>202</v>
      </c>
      <c r="C183" s="35"/>
      <c r="D183" s="35"/>
      <c r="E183" s="36"/>
      <c r="F183" s="35"/>
      <c r="G183" s="48">
        <f>G184</f>
        <v>619.496372</v>
      </c>
    </row>
    <row r="184" spans="1:7" ht="15.75" thickBot="1">
      <c r="A184" s="43"/>
      <c r="B184" s="44" t="s">
        <v>201</v>
      </c>
      <c r="C184" s="45" t="s">
        <v>194</v>
      </c>
      <c r="D184" s="46">
        <v>68000</v>
      </c>
      <c r="E184" s="8">
        <v>168.52</v>
      </c>
      <c r="F184" s="44">
        <v>3676.1</v>
      </c>
      <c r="G184" s="47">
        <f>E184*F184/1000</f>
        <v>619.496372</v>
      </c>
    </row>
    <row r="185" spans="1:7" ht="15" thickBot="1">
      <c r="A185" s="33">
        <v>7</v>
      </c>
      <c r="B185" s="34" t="s">
        <v>203</v>
      </c>
      <c r="C185" s="34"/>
      <c r="D185" s="34"/>
      <c r="E185" s="34"/>
      <c r="F185" s="34"/>
      <c r="G185" s="48">
        <f>G186</f>
        <v>495.53828000000004</v>
      </c>
    </row>
    <row r="186" spans="1:7" ht="15.75" thickBot="1">
      <c r="A186" s="61"/>
      <c r="B186" s="44" t="s">
        <v>201</v>
      </c>
      <c r="C186" s="45" t="s">
        <v>194</v>
      </c>
      <c r="D186" s="45">
        <v>67000</v>
      </c>
      <c r="E186" s="45">
        <v>134.8</v>
      </c>
      <c r="F186" s="44">
        <v>3676.1</v>
      </c>
      <c r="G186" s="47">
        <f>E186*F186/1000</f>
        <v>495.53828000000004</v>
      </c>
    </row>
    <row r="187" spans="1:7" ht="15.75" thickBot="1">
      <c r="A187" s="33">
        <v>9</v>
      </c>
      <c r="B187" s="62" t="s">
        <v>204</v>
      </c>
      <c r="C187" s="35"/>
      <c r="D187" s="35"/>
      <c r="E187" s="35"/>
      <c r="F187" s="35"/>
      <c r="G187" s="48">
        <f>G188</f>
        <v>629.696412</v>
      </c>
    </row>
    <row r="188" spans="1:7" ht="15.75" thickBot="1">
      <c r="A188" s="61"/>
      <c r="B188" s="45" t="s">
        <v>205</v>
      </c>
      <c r="C188" s="45" t="s">
        <v>194</v>
      </c>
      <c r="D188" s="45">
        <v>13100</v>
      </c>
      <c r="E188" s="45">
        <v>1032.12</v>
      </c>
      <c r="F188" s="45">
        <v>610.1</v>
      </c>
      <c r="G188" s="63">
        <f>E188*F188/1000</f>
        <v>629.696412</v>
      </c>
    </row>
    <row r="189" spans="1:7" ht="15" thickBot="1">
      <c r="A189" s="33">
        <v>10</v>
      </c>
      <c r="B189" s="34" t="s">
        <v>45</v>
      </c>
      <c r="C189" s="34" t="s">
        <v>194</v>
      </c>
      <c r="D189" s="34"/>
      <c r="E189" s="64"/>
      <c r="F189" s="34"/>
      <c r="G189" s="65">
        <f>G190</f>
        <v>2861.228916</v>
      </c>
    </row>
    <row r="190" spans="1:7" ht="15.75" thickBot="1">
      <c r="A190" s="66"/>
      <c r="B190" s="67" t="s">
        <v>206</v>
      </c>
      <c r="C190" s="67"/>
      <c r="D190" s="68">
        <v>1900</v>
      </c>
      <c r="E190" s="6">
        <v>4339.14</v>
      </c>
      <c r="F190" s="69">
        <v>659.4</v>
      </c>
      <c r="G190" s="63">
        <f>E190*F190/1000</f>
        <v>2861.228916</v>
      </c>
    </row>
    <row r="191" spans="1:7" ht="15" thickBot="1">
      <c r="A191" s="33">
        <v>11</v>
      </c>
      <c r="B191" s="34" t="s">
        <v>102</v>
      </c>
      <c r="C191" s="34" t="s">
        <v>194</v>
      </c>
      <c r="D191" s="34"/>
      <c r="E191" s="64"/>
      <c r="F191" s="34"/>
      <c r="G191" s="65">
        <f>G192</f>
        <v>1406.0376119999999</v>
      </c>
    </row>
    <row r="192" spans="1:7" ht="15.75" thickBot="1">
      <c r="A192" s="66"/>
      <c r="B192" s="67" t="s">
        <v>207</v>
      </c>
      <c r="C192" s="67"/>
      <c r="D192" s="68">
        <v>1100</v>
      </c>
      <c r="E192" s="6">
        <v>7494.87</v>
      </c>
      <c r="F192" s="69">
        <v>187.6</v>
      </c>
      <c r="G192" s="63">
        <f>E192*F192/1000</f>
        <v>1406.0376119999999</v>
      </c>
    </row>
    <row r="193" spans="1:7" ht="15" thickBot="1">
      <c r="A193" s="33">
        <v>12</v>
      </c>
      <c r="B193" s="34" t="s">
        <v>103</v>
      </c>
      <c r="C193" s="34" t="s">
        <v>208</v>
      </c>
      <c r="D193" s="34"/>
      <c r="E193" s="64"/>
      <c r="F193" s="34"/>
      <c r="G193" s="65">
        <f>G194</f>
        <v>1438.8</v>
      </c>
    </row>
    <row r="194" spans="1:7" ht="15.75" thickBot="1">
      <c r="A194" s="38"/>
      <c r="B194" s="50" t="s">
        <v>209</v>
      </c>
      <c r="C194" s="50"/>
      <c r="D194" s="70">
        <v>1250</v>
      </c>
      <c r="E194" s="51">
        <v>6.6</v>
      </c>
      <c r="F194" s="71">
        <v>218</v>
      </c>
      <c r="G194" s="72">
        <f>E194*F194</f>
        <v>1438.8</v>
      </c>
    </row>
    <row r="195" spans="1:7" ht="15">
      <c r="A195" s="73">
        <v>13</v>
      </c>
      <c r="B195" s="74" t="s">
        <v>210</v>
      </c>
      <c r="C195" s="75" t="s">
        <v>211</v>
      </c>
      <c r="D195" s="76" t="s">
        <v>212</v>
      </c>
      <c r="E195" s="6">
        <v>4542.6</v>
      </c>
      <c r="F195" s="77">
        <v>1</v>
      </c>
      <c r="G195" s="78">
        <f>E195*F195</f>
        <v>4542.6</v>
      </c>
    </row>
    <row r="196" spans="1:7" ht="15.75" thickBot="1">
      <c r="A196" s="49"/>
      <c r="B196" s="79" t="s">
        <v>237</v>
      </c>
      <c r="C196" s="50"/>
      <c r="D196" s="70"/>
      <c r="E196" s="51"/>
      <c r="F196" s="71"/>
      <c r="G196" s="80">
        <f>G173+G176+G178+G180+G181+G183+G185+G187+G189+G191+G193+G195</f>
        <v>22081.122650999998</v>
      </c>
    </row>
    <row r="197" spans="1:7" ht="15">
      <c r="A197" s="73">
        <v>14</v>
      </c>
      <c r="B197" s="74" t="s">
        <v>214</v>
      </c>
      <c r="C197" s="75"/>
      <c r="D197" s="81"/>
      <c r="E197" s="6"/>
      <c r="F197" s="77"/>
      <c r="G197" s="78">
        <f>G196*0.185</f>
        <v>4085.0076904349994</v>
      </c>
    </row>
    <row r="198" spans="1:7" ht="15">
      <c r="A198" s="43">
        <v>15</v>
      </c>
      <c r="B198" s="82" t="s">
        <v>95</v>
      </c>
      <c r="C198" s="45"/>
      <c r="D198" s="46"/>
      <c r="E198" s="8"/>
      <c r="F198" s="44"/>
      <c r="G198" s="83">
        <v>1350</v>
      </c>
    </row>
    <row r="199" spans="1:7" ht="15.75" thickBot="1">
      <c r="A199" s="84">
        <v>16</v>
      </c>
      <c r="B199" s="85" t="s">
        <v>91</v>
      </c>
      <c r="C199" s="86"/>
      <c r="D199" s="87"/>
      <c r="E199" s="51"/>
      <c r="F199" s="88"/>
      <c r="G199" s="89">
        <f>G200+G201+G202+G203+G204+G206+G207+G210+G211+G212+G213</f>
        <v>4999.563833333333</v>
      </c>
    </row>
    <row r="200" spans="1:7" ht="15">
      <c r="A200" s="90"/>
      <c r="B200" s="75" t="s">
        <v>105</v>
      </c>
      <c r="C200" s="75" t="s">
        <v>194</v>
      </c>
      <c r="D200" s="81"/>
      <c r="E200" s="6">
        <v>0.83</v>
      </c>
      <c r="F200" s="44">
        <v>3676.1</v>
      </c>
      <c r="G200" s="91">
        <f>E200*F200</f>
        <v>3051.1629999999996</v>
      </c>
    </row>
    <row r="201" spans="1:7" ht="15">
      <c r="A201" s="61"/>
      <c r="B201" s="45" t="s">
        <v>215</v>
      </c>
      <c r="C201" s="45" t="s">
        <v>194</v>
      </c>
      <c r="D201" s="46"/>
      <c r="E201" s="8">
        <v>0.05</v>
      </c>
      <c r="F201" s="44">
        <v>367.6</v>
      </c>
      <c r="G201" s="92">
        <f>E201*F201</f>
        <v>18.380000000000003</v>
      </c>
    </row>
    <row r="202" spans="1:7" ht="15">
      <c r="A202" s="61"/>
      <c r="B202" s="45" t="s">
        <v>216</v>
      </c>
      <c r="C202" s="45" t="s">
        <v>194</v>
      </c>
      <c r="D202" s="46"/>
      <c r="E202" s="93">
        <v>0.08</v>
      </c>
      <c r="F202" s="44">
        <v>367.6</v>
      </c>
      <c r="G202" s="92">
        <f>E202*F202</f>
        <v>29.408</v>
      </c>
    </row>
    <row r="203" spans="1:7" ht="15">
      <c r="A203" s="94"/>
      <c r="B203" s="45" t="s">
        <v>217</v>
      </c>
      <c r="C203" s="45" t="s">
        <v>194</v>
      </c>
      <c r="D203" s="46"/>
      <c r="E203" s="45">
        <v>0.01</v>
      </c>
      <c r="F203" s="44">
        <v>3676.1</v>
      </c>
      <c r="G203" s="92">
        <f>E203*F203</f>
        <v>36.761</v>
      </c>
    </row>
    <row r="204" spans="1:7" ht="15">
      <c r="A204" s="61"/>
      <c r="B204" s="45" t="s">
        <v>218</v>
      </c>
      <c r="C204" s="45" t="s">
        <v>219</v>
      </c>
      <c r="D204" s="46"/>
      <c r="E204" s="8">
        <v>76.1</v>
      </c>
      <c r="F204" s="44">
        <v>1</v>
      </c>
      <c r="G204" s="92">
        <f>E204*F204</f>
        <v>76.1</v>
      </c>
    </row>
    <row r="205" spans="1:7" ht="15">
      <c r="A205" s="61"/>
      <c r="B205" s="45" t="s">
        <v>220</v>
      </c>
      <c r="C205" s="45" t="s">
        <v>219</v>
      </c>
      <c r="D205" s="46"/>
      <c r="E205" s="8">
        <v>0</v>
      </c>
      <c r="F205" s="44">
        <v>1</v>
      </c>
      <c r="G205" s="92">
        <v>0</v>
      </c>
    </row>
    <row r="206" spans="1:7" ht="15">
      <c r="A206" s="61"/>
      <c r="B206" s="45" t="s">
        <v>221</v>
      </c>
      <c r="C206" s="45" t="s">
        <v>219</v>
      </c>
      <c r="D206" s="46"/>
      <c r="E206" s="8">
        <v>906.58</v>
      </c>
      <c r="F206" s="44">
        <v>1</v>
      </c>
      <c r="G206" s="92">
        <f>E206*F206</f>
        <v>906.58</v>
      </c>
    </row>
    <row r="207" spans="1:7" ht="15">
      <c r="A207" s="61"/>
      <c r="B207" s="45" t="s">
        <v>222</v>
      </c>
      <c r="C207" s="45" t="s">
        <v>219</v>
      </c>
      <c r="D207" s="46"/>
      <c r="E207" s="93">
        <v>91.24</v>
      </c>
      <c r="F207" s="44">
        <v>1</v>
      </c>
      <c r="G207" s="92">
        <f>E207*F207</f>
        <v>91.24</v>
      </c>
    </row>
    <row r="208" spans="1:7" ht="15">
      <c r="A208" s="61"/>
      <c r="B208" s="45" t="s">
        <v>223</v>
      </c>
      <c r="C208" s="45" t="s">
        <v>194</v>
      </c>
      <c r="D208" s="46"/>
      <c r="E208" s="8">
        <v>1.2</v>
      </c>
      <c r="F208" s="44">
        <v>0</v>
      </c>
      <c r="G208" s="95">
        <v>0</v>
      </c>
    </row>
    <row r="209" spans="1:7" ht="15">
      <c r="A209" s="61"/>
      <c r="B209" s="45" t="s">
        <v>224</v>
      </c>
      <c r="C209" s="45" t="s">
        <v>219</v>
      </c>
      <c r="D209" s="46"/>
      <c r="E209" s="93">
        <f>104.9/12</f>
        <v>8.741666666666667</v>
      </c>
      <c r="F209" s="44">
        <v>0</v>
      </c>
      <c r="G209" s="95">
        <v>0</v>
      </c>
    </row>
    <row r="210" spans="1:7" ht="15">
      <c r="A210" s="61"/>
      <c r="B210" s="45" t="s">
        <v>225</v>
      </c>
      <c r="C210" s="45" t="s">
        <v>194</v>
      </c>
      <c r="D210" s="46"/>
      <c r="E210" s="8">
        <v>0.32</v>
      </c>
      <c r="F210" s="44">
        <v>3676.1</v>
      </c>
      <c r="G210" s="92">
        <f>E210*F210/12</f>
        <v>98.02933333333334</v>
      </c>
    </row>
    <row r="211" spans="1:7" ht="15">
      <c r="A211" s="61"/>
      <c r="B211" s="45" t="s">
        <v>226</v>
      </c>
      <c r="C211" s="45" t="s">
        <v>194</v>
      </c>
      <c r="D211" s="46"/>
      <c r="E211" s="8">
        <v>0.3</v>
      </c>
      <c r="F211" s="44">
        <v>3676.1</v>
      </c>
      <c r="G211" s="92">
        <f>E211*F211/12</f>
        <v>91.90249999999999</v>
      </c>
    </row>
    <row r="212" spans="1:7" ht="15">
      <c r="A212" s="61"/>
      <c r="B212" s="45" t="s">
        <v>227</v>
      </c>
      <c r="C212" s="45" t="s">
        <v>219</v>
      </c>
      <c r="D212" s="46"/>
      <c r="E212" s="8">
        <v>300</v>
      </c>
      <c r="F212" s="44">
        <v>1</v>
      </c>
      <c r="G212" s="92">
        <f>E212*F212</f>
        <v>300</v>
      </c>
    </row>
    <row r="213" spans="1:7" ht="15.75" thickBot="1">
      <c r="A213" s="96"/>
      <c r="B213" s="50" t="s">
        <v>228</v>
      </c>
      <c r="C213" s="50" t="s">
        <v>219</v>
      </c>
      <c r="D213" s="70"/>
      <c r="E213" s="51">
        <v>300</v>
      </c>
      <c r="F213" s="71">
        <v>1</v>
      </c>
      <c r="G213" s="72">
        <f>E213*F213</f>
        <v>300</v>
      </c>
    </row>
    <row r="214" spans="1:7" ht="15">
      <c r="A214" s="66">
        <v>17</v>
      </c>
      <c r="B214" s="97" t="s">
        <v>229</v>
      </c>
      <c r="C214" s="67"/>
      <c r="D214" s="68"/>
      <c r="E214" s="6"/>
      <c r="F214" s="69"/>
      <c r="G214" s="98">
        <f>G215+G216</f>
        <v>60.2140825</v>
      </c>
    </row>
    <row r="215" spans="1:7" ht="15">
      <c r="A215" s="43"/>
      <c r="B215" s="44" t="s">
        <v>230</v>
      </c>
      <c r="C215" s="45" t="s">
        <v>231</v>
      </c>
      <c r="D215" s="46"/>
      <c r="E215" s="93">
        <f>1.1*15.51*1.1</f>
        <v>18.767100000000003</v>
      </c>
      <c r="F215" s="44">
        <v>12.9</v>
      </c>
      <c r="G215" s="92">
        <f>E215*F215/12</f>
        <v>20.174632500000005</v>
      </c>
    </row>
    <row r="216" spans="1:7" ht="15">
      <c r="A216" s="43"/>
      <c r="B216" s="44" t="s">
        <v>232</v>
      </c>
      <c r="C216" s="45" t="s">
        <v>231</v>
      </c>
      <c r="D216" s="46"/>
      <c r="E216" s="93">
        <f>1.1*33.86</f>
        <v>37.246</v>
      </c>
      <c r="F216" s="44">
        <v>12.9</v>
      </c>
      <c r="G216" s="92">
        <f>E216*F216/12</f>
        <v>40.03945</v>
      </c>
    </row>
    <row r="217" spans="1:7" ht="15">
      <c r="A217" s="43">
        <v>18</v>
      </c>
      <c r="B217" s="99" t="s">
        <v>107</v>
      </c>
      <c r="C217" s="45" t="s">
        <v>194</v>
      </c>
      <c r="D217" s="46"/>
      <c r="E217" s="8">
        <v>0.5</v>
      </c>
      <c r="F217" s="44">
        <v>3676.1</v>
      </c>
      <c r="G217" s="100">
        <f>E217*F217</f>
        <v>1838.05</v>
      </c>
    </row>
    <row r="218" spans="1:7" ht="15.75" thickBot="1">
      <c r="A218" s="43">
        <v>19</v>
      </c>
      <c r="B218" s="99" t="s">
        <v>233</v>
      </c>
      <c r="C218" s="45" t="s">
        <v>194</v>
      </c>
      <c r="D218" s="46"/>
      <c r="E218" s="8">
        <v>1.1</v>
      </c>
      <c r="F218" s="44">
        <v>3676.1</v>
      </c>
      <c r="G218" s="83">
        <f>E218*F218</f>
        <v>4043.71</v>
      </c>
    </row>
    <row r="219" spans="1:7" ht="15">
      <c r="A219" s="73"/>
      <c r="B219" s="101" t="s">
        <v>234</v>
      </c>
      <c r="C219" s="75"/>
      <c r="D219" s="81"/>
      <c r="E219" s="6"/>
      <c r="F219" s="77"/>
      <c r="G219" s="78">
        <f>G196+G197+G198+G199+G214+G217+G218</f>
        <v>38457.66825726833</v>
      </c>
    </row>
    <row r="220" spans="1:7" ht="15">
      <c r="A220" s="44" t="s">
        <v>252</v>
      </c>
      <c r="B220" s="45"/>
      <c r="C220" s="46"/>
      <c r="D220" s="8"/>
      <c r="E220" s="44"/>
      <c r="F220" s="44"/>
      <c r="G220" s="102">
        <f>G219/F175</f>
        <v>10.46154028923814</v>
      </c>
    </row>
    <row r="221" spans="1:7" ht="15">
      <c r="A221" s="53"/>
      <c r="B221" s="54"/>
      <c r="C221" s="55"/>
      <c r="D221" s="103"/>
      <c r="E221" s="8"/>
      <c r="F221" s="54"/>
      <c r="G221" s="104"/>
    </row>
    <row r="222" spans="1:7" ht="14.25">
      <c r="A222" s="105"/>
      <c r="B222" s="106"/>
      <c r="C222" s="107"/>
      <c r="D222" s="11"/>
      <c r="E222" s="108"/>
      <c r="F222" s="109"/>
      <c r="G222" s="110"/>
    </row>
    <row r="223" spans="1:7" ht="15" thickBot="1">
      <c r="A223" s="49">
        <v>20</v>
      </c>
      <c r="B223" s="79" t="s">
        <v>56</v>
      </c>
      <c r="C223" s="79"/>
      <c r="D223" s="111"/>
      <c r="E223" s="112">
        <v>2.64</v>
      </c>
      <c r="F223" s="114">
        <f>F175</f>
        <v>3676.1</v>
      </c>
      <c r="G223" s="113">
        <f>E223*F223</f>
        <v>9704.904</v>
      </c>
    </row>
    <row r="224" ht="15.75" thickBot="1"/>
    <row r="225" spans="1:7" ht="15">
      <c r="A225" s="140" t="s">
        <v>1</v>
      </c>
      <c r="B225" s="142" t="s">
        <v>181</v>
      </c>
      <c r="C225" s="143"/>
      <c r="D225" s="143"/>
      <c r="E225" s="143"/>
      <c r="F225" s="143"/>
      <c r="G225" s="144"/>
    </row>
    <row r="226" spans="1:7" ht="15.75" thickBot="1">
      <c r="A226" s="141"/>
      <c r="B226" s="145" t="s">
        <v>243</v>
      </c>
      <c r="C226" s="146"/>
      <c r="D226" s="146"/>
      <c r="E226" s="146"/>
      <c r="F226" s="146"/>
      <c r="G226" s="147"/>
    </row>
    <row r="227" spans="1:7" ht="43.5" thickBot="1">
      <c r="A227" s="29"/>
      <c r="B227" s="30" t="s">
        <v>183</v>
      </c>
      <c r="C227" s="31" t="s">
        <v>184</v>
      </c>
      <c r="D227" s="31" t="s">
        <v>185</v>
      </c>
      <c r="E227" s="31" t="s">
        <v>186</v>
      </c>
      <c r="F227" s="31" t="s">
        <v>187</v>
      </c>
      <c r="G227" s="32" t="s">
        <v>188</v>
      </c>
    </row>
    <row r="228" spans="1:7" ht="15.75" thickBot="1">
      <c r="A228" s="33"/>
      <c r="B228" s="34" t="s">
        <v>189</v>
      </c>
      <c r="C228" s="35"/>
      <c r="D228" s="35"/>
      <c r="E228" s="36"/>
      <c r="F228" s="35"/>
      <c r="G228" s="37" t="s">
        <v>236</v>
      </c>
    </row>
    <row r="229" spans="1:7" ht="15.75" thickBot="1">
      <c r="A229" s="38">
        <v>1</v>
      </c>
      <c r="B229" s="39" t="s">
        <v>190</v>
      </c>
      <c r="C229" s="40"/>
      <c r="D229" s="40"/>
      <c r="E229" s="41"/>
      <c r="F229" s="40"/>
      <c r="G229" s="42">
        <f>G230+G231</f>
        <v>20229.160082000002</v>
      </c>
    </row>
    <row r="230" spans="1:7" ht="15">
      <c r="A230" s="43"/>
      <c r="B230" s="44" t="s">
        <v>191</v>
      </c>
      <c r="C230" s="45" t="s">
        <v>192</v>
      </c>
      <c r="D230" s="46">
        <v>320</v>
      </c>
      <c r="E230" s="8">
        <v>49.72</v>
      </c>
      <c r="F230" s="44">
        <v>280</v>
      </c>
      <c r="G230" s="47">
        <f>E230*F230</f>
        <v>13921.6</v>
      </c>
    </row>
    <row r="231" spans="1:7" ht="15.75" thickBot="1">
      <c r="A231" s="43"/>
      <c r="B231" s="44" t="s">
        <v>193</v>
      </c>
      <c r="C231" s="45" t="s">
        <v>194</v>
      </c>
      <c r="D231" s="46">
        <v>37700</v>
      </c>
      <c r="E231" s="8">
        <v>422.06</v>
      </c>
      <c r="F231" s="44">
        <v>14944.7</v>
      </c>
      <c r="G231" s="47">
        <f>E231*F231/1000</f>
        <v>6307.560082</v>
      </c>
    </row>
    <row r="232" spans="1:7" ht="15.75" thickBot="1">
      <c r="A232" s="33">
        <v>2</v>
      </c>
      <c r="B232" s="34" t="s">
        <v>195</v>
      </c>
      <c r="C232" s="35"/>
      <c r="D232" s="35"/>
      <c r="E232" s="36"/>
      <c r="F232" s="35"/>
      <c r="G232" s="48">
        <f>G233</f>
        <v>1988</v>
      </c>
    </row>
    <row r="233" spans="1:7" ht="15.75" thickBot="1">
      <c r="A233" s="49"/>
      <c r="B233" s="50" t="s">
        <v>196</v>
      </c>
      <c r="C233" s="50" t="s">
        <v>192</v>
      </c>
      <c r="D233" s="50">
        <v>2240</v>
      </c>
      <c r="E233" s="51">
        <v>7.1</v>
      </c>
      <c r="F233" s="44">
        <v>280</v>
      </c>
      <c r="G233" s="52">
        <f>E233*F233</f>
        <v>1988</v>
      </c>
    </row>
    <row r="234" spans="1:7" ht="15.75" thickBot="1">
      <c r="A234" s="33">
        <v>3</v>
      </c>
      <c r="B234" s="34" t="s">
        <v>197</v>
      </c>
      <c r="C234" s="35"/>
      <c r="D234" s="35"/>
      <c r="E234" s="36"/>
      <c r="F234" s="35"/>
      <c r="G234" s="48">
        <f>G235</f>
        <v>3613.9273540000004</v>
      </c>
    </row>
    <row r="235" spans="1:7" ht="15.75" thickBot="1">
      <c r="A235" s="53"/>
      <c r="B235" s="54" t="s">
        <v>198</v>
      </c>
      <c r="C235" s="55" t="s">
        <v>194</v>
      </c>
      <c r="D235" s="56">
        <v>65800</v>
      </c>
      <c r="E235" s="9">
        <v>241.82</v>
      </c>
      <c r="F235" s="44">
        <v>14944.7</v>
      </c>
      <c r="G235" s="47">
        <f>E235*F235/1000</f>
        <v>3613.9273540000004</v>
      </c>
    </row>
    <row r="236" spans="1:7" ht="15.75" thickBot="1">
      <c r="A236" s="29">
        <v>4</v>
      </c>
      <c r="B236" s="57" t="s">
        <v>199</v>
      </c>
      <c r="C236" s="58" t="s">
        <v>192</v>
      </c>
      <c r="D236" s="58">
        <v>1995</v>
      </c>
      <c r="E236" s="59">
        <v>5.74</v>
      </c>
      <c r="F236" s="44">
        <v>280</v>
      </c>
      <c r="G236" s="60">
        <f>E236*F236</f>
        <v>1607.2</v>
      </c>
    </row>
    <row r="237" spans="1:7" ht="15.75" thickBot="1">
      <c r="A237" s="33">
        <v>5</v>
      </c>
      <c r="B237" s="34" t="s">
        <v>200</v>
      </c>
      <c r="C237" s="35"/>
      <c r="D237" s="35"/>
      <c r="E237" s="36"/>
      <c r="F237" s="35"/>
      <c r="G237" s="48">
        <f>G238</f>
        <v>3621.250257</v>
      </c>
    </row>
    <row r="238" spans="1:7" ht="15.75" thickBot="1">
      <c r="A238" s="43"/>
      <c r="B238" s="44" t="s">
        <v>201</v>
      </c>
      <c r="C238" s="45" t="s">
        <v>194</v>
      </c>
      <c r="D238" s="46">
        <v>55800</v>
      </c>
      <c r="E238" s="8">
        <v>242.31</v>
      </c>
      <c r="F238" s="44">
        <v>14944.7</v>
      </c>
      <c r="G238" s="47">
        <f>E238*F238/1000</f>
        <v>3621.250257</v>
      </c>
    </row>
    <row r="239" spans="1:7" ht="15.75" thickBot="1">
      <c r="A239" s="33">
        <v>6</v>
      </c>
      <c r="B239" s="34" t="s">
        <v>202</v>
      </c>
      <c r="C239" s="35"/>
      <c r="D239" s="35"/>
      <c r="E239" s="36"/>
      <c r="F239" s="35"/>
      <c r="G239" s="48">
        <f>G240</f>
        <v>0</v>
      </c>
    </row>
    <row r="240" spans="1:7" ht="15.75" thickBot="1">
      <c r="A240" s="43"/>
      <c r="B240" s="44" t="s">
        <v>201</v>
      </c>
      <c r="C240" s="45" t="s">
        <v>194</v>
      </c>
      <c r="D240" s="46">
        <v>68000</v>
      </c>
      <c r="E240" s="8">
        <v>0</v>
      </c>
      <c r="F240" s="44">
        <v>14944.7</v>
      </c>
      <c r="G240" s="47">
        <f>E240*F240/1000</f>
        <v>0</v>
      </c>
    </row>
    <row r="241" spans="1:7" ht="15" thickBot="1">
      <c r="A241" s="33">
        <v>7</v>
      </c>
      <c r="B241" s="34" t="s">
        <v>203</v>
      </c>
      <c r="C241" s="34"/>
      <c r="D241" s="34"/>
      <c r="E241" s="34"/>
      <c r="F241" s="34"/>
      <c r="G241" s="48">
        <f>G242</f>
        <v>0</v>
      </c>
    </row>
    <row r="242" spans="1:7" ht="15.75" thickBot="1">
      <c r="A242" s="61"/>
      <c r="B242" s="44" t="s">
        <v>201</v>
      </c>
      <c r="C242" s="45" t="s">
        <v>194</v>
      </c>
      <c r="D242" s="45">
        <v>67000</v>
      </c>
      <c r="E242" s="45">
        <v>0</v>
      </c>
      <c r="F242" s="44">
        <v>14944.7</v>
      </c>
      <c r="G242" s="47">
        <f>E242*F242/1000</f>
        <v>0</v>
      </c>
    </row>
    <row r="243" spans="1:7" ht="15.75" thickBot="1">
      <c r="A243" s="33">
        <v>9</v>
      </c>
      <c r="B243" s="62" t="s">
        <v>204</v>
      </c>
      <c r="C243" s="35"/>
      <c r="D243" s="35"/>
      <c r="E243" s="35"/>
      <c r="F243" s="35"/>
      <c r="G243" s="48">
        <f>G244</f>
        <v>1787.6318399999998</v>
      </c>
    </row>
    <row r="244" spans="1:7" ht="15.75" thickBot="1">
      <c r="A244" s="61"/>
      <c r="B244" s="45" t="s">
        <v>205</v>
      </c>
      <c r="C244" s="45" t="s">
        <v>194</v>
      </c>
      <c r="D244" s="45">
        <v>13100</v>
      </c>
      <c r="E244" s="45">
        <v>1032.12</v>
      </c>
      <c r="F244" s="45">
        <v>1732</v>
      </c>
      <c r="G244" s="63">
        <f>E244*F244/1000</f>
        <v>1787.6318399999998</v>
      </c>
    </row>
    <row r="245" spans="1:7" ht="15" thickBot="1">
      <c r="A245" s="33">
        <v>10</v>
      </c>
      <c r="B245" s="34" t="s">
        <v>45</v>
      </c>
      <c r="C245" s="34" t="s">
        <v>194</v>
      </c>
      <c r="D245" s="34"/>
      <c r="E245" s="64"/>
      <c r="F245" s="34"/>
      <c r="G245" s="65">
        <f>G246</f>
        <v>10556.693706000002</v>
      </c>
    </row>
    <row r="246" spans="1:7" ht="15.75" thickBot="1">
      <c r="A246" s="66"/>
      <c r="B246" s="67" t="s">
        <v>206</v>
      </c>
      <c r="C246" s="67"/>
      <c r="D246" s="68">
        <v>1900</v>
      </c>
      <c r="E246" s="6">
        <v>4339.14</v>
      </c>
      <c r="F246" s="69">
        <v>2432.9</v>
      </c>
      <c r="G246" s="63">
        <f>E246*F246/1000</f>
        <v>10556.693706000002</v>
      </c>
    </row>
    <row r="247" spans="1:7" ht="15" thickBot="1">
      <c r="A247" s="33">
        <v>11</v>
      </c>
      <c r="B247" s="34" t="s">
        <v>102</v>
      </c>
      <c r="C247" s="34" t="s">
        <v>194</v>
      </c>
      <c r="D247" s="34"/>
      <c r="E247" s="64"/>
      <c r="F247" s="34"/>
      <c r="G247" s="65">
        <f>G248</f>
        <v>16473.72426</v>
      </c>
    </row>
    <row r="248" spans="1:7" ht="15.75" thickBot="1">
      <c r="A248" s="66"/>
      <c r="B248" s="67" t="s">
        <v>207</v>
      </c>
      <c r="C248" s="67"/>
      <c r="D248" s="68">
        <v>1100</v>
      </c>
      <c r="E248" s="6">
        <v>7494.87</v>
      </c>
      <c r="F248" s="69">
        <v>2198</v>
      </c>
      <c r="G248" s="63">
        <f>E248*F248/1000</f>
        <v>16473.72426</v>
      </c>
    </row>
    <row r="249" spans="1:7" ht="15" thickBot="1">
      <c r="A249" s="33">
        <v>12</v>
      </c>
      <c r="B249" s="34" t="s">
        <v>103</v>
      </c>
      <c r="C249" s="34" t="s">
        <v>208</v>
      </c>
      <c r="D249" s="34"/>
      <c r="E249" s="64"/>
      <c r="F249" s="34"/>
      <c r="G249" s="65">
        <f>G250</f>
        <v>4950</v>
      </c>
    </row>
    <row r="250" spans="1:7" ht="15.75" thickBot="1">
      <c r="A250" s="38"/>
      <c r="B250" s="50" t="s">
        <v>209</v>
      </c>
      <c r="C250" s="50"/>
      <c r="D250" s="70">
        <v>1250</v>
      </c>
      <c r="E250" s="51">
        <v>6.6</v>
      </c>
      <c r="F250" s="71">
        <v>750</v>
      </c>
      <c r="G250" s="72">
        <f>E250*F250</f>
        <v>4950</v>
      </c>
    </row>
    <row r="251" spans="1:7" ht="15">
      <c r="A251" s="73">
        <v>13</v>
      </c>
      <c r="B251" s="74" t="s">
        <v>210</v>
      </c>
      <c r="C251" s="75" t="s">
        <v>211</v>
      </c>
      <c r="D251" s="76" t="s">
        <v>212</v>
      </c>
      <c r="E251" s="6">
        <v>4542.6</v>
      </c>
      <c r="F251" s="77">
        <v>7</v>
      </c>
      <c r="G251" s="78">
        <f>E251*F251</f>
        <v>31798.200000000004</v>
      </c>
    </row>
    <row r="252" spans="1:7" ht="15.75" thickBot="1">
      <c r="A252" s="49"/>
      <c r="B252" s="79" t="s">
        <v>237</v>
      </c>
      <c r="C252" s="50"/>
      <c r="D252" s="70"/>
      <c r="E252" s="51"/>
      <c r="F252" s="71"/>
      <c r="G252" s="80">
        <f>G229+G232+G234+G236+G237+G239+G241+G243+G245+G247+G249+G251</f>
        <v>96625.787499</v>
      </c>
    </row>
    <row r="253" spans="1:7" ht="15">
      <c r="A253" s="73">
        <v>14</v>
      </c>
      <c r="B253" s="74" t="s">
        <v>214</v>
      </c>
      <c r="C253" s="75"/>
      <c r="D253" s="81"/>
      <c r="E253" s="6"/>
      <c r="F253" s="77"/>
      <c r="G253" s="78">
        <f>G252*0.118</f>
        <v>11401.842924882</v>
      </c>
    </row>
    <row r="254" spans="1:7" ht="15">
      <c r="A254" s="43">
        <v>15</v>
      </c>
      <c r="B254" s="82" t="s">
        <v>95</v>
      </c>
      <c r="C254" s="45"/>
      <c r="D254" s="46"/>
      <c r="E254" s="8"/>
      <c r="F254" s="44"/>
      <c r="G254" s="83">
        <v>2495.5</v>
      </c>
    </row>
    <row r="255" spans="1:7" ht="15.75" thickBot="1">
      <c r="A255" s="84">
        <v>16</v>
      </c>
      <c r="B255" s="85" t="s">
        <v>91</v>
      </c>
      <c r="C255" s="86"/>
      <c r="D255" s="87"/>
      <c r="E255" s="51"/>
      <c r="F255" s="88"/>
      <c r="G255" s="89">
        <f>G256+G257+G258+G259+G260+G262+G263+G266+G267+G268+G269</f>
        <v>21637.402833333337</v>
      </c>
    </row>
    <row r="256" spans="1:7" ht="15">
      <c r="A256" s="90"/>
      <c r="B256" s="75" t="s">
        <v>105</v>
      </c>
      <c r="C256" s="75" t="s">
        <v>194</v>
      </c>
      <c r="D256" s="81"/>
      <c r="E256" s="6">
        <v>0.83</v>
      </c>
      <c r="F256" s="44">
        <v>14944.7</v>
      </c>
      <c r="G256" s="91">
        <f>E256*F256</f>
        <v>12404.101</v>
      </c>
    </row>
    <row r="257" spans="1:7" ht="15">
      <c r="A257" s="61"/>
      <c r="B257" s="45" t="s">
        <v>215</v>
      </c>
      <c r="C257" s="45" t="s">
        <v>194</v>
      </c>
      <c r="D257" s="46"/>
      <c r="E257" s="8">
        <v>0.05</v>
      </c>
      <c r="F257" s="44">
        <v>1494.4</v>
      </c>
      <c r="G257" s="92">
        <f>E257*F257</f>
        <v>74.72000000000001</v>
      </c>
    </row>
    <row r="258" spans="1:7" ht="15">
      <c r="A258" s="61"/>
      <c r="B258" s="45" t="s">
        <v>216</v>
      </c>
      <c r="C258" s="45" t="s">
        <v>194</v>
      </c>
      <c r="D258" s="46"/>
      <c r="E258" s="93">
        <v>0.08</v>
      </c>
      <c r="F258" s="44">
        <v>1494.4</v>
      </c>
      <c r="G258" s="92">
        <f>E258*F258</f>
        <v>119.552</v>
      </c>
    </row>
    <row r="259" spans="1:7" ht="15">
      <c r="A259" s="94"/>
      <c r="B259" s="45" t="s">
        <v>217</v>
      </c>
      <c r="C259" s="45" t="s">
        <v>194</v>
      </c>
      <c r="D259" s="46"/>
      <c r="E259" s="45">
        <v>0.01</v>
      </c>
      <c r="F259" s="44">
        <v>14944.7</v>
      </c>
      <c r="G259" s="92">
        <f>E259*F259</f>
        <v>149.447</v>
      </c>
    </row>
    <row r="260" spans="1:7" ht="15">
      <c r="A260" s="61"/>
      <c r="B260" s="45" t="s">
        <v>218</v>
      </c>
      <c r="C260" s="45" t="s">
        <v>219</v>
      </c>
      <c r="D260" s="46"/>
      <c r="E260" s="8">
        <v>76.1</v>
      </c>
      <c r="F260" s="44">
        <v>7</v>
      </c>
      <c r="G260" s="92">
        <f>E260*F260</f>
        <v>532.6999999999999</v>
      </c>
    </row>
    <row r="261" spans="1:7" ht="15">
      <c r="A261" s="61"/>
      <c r="B261" s="45" t="s">
        <v>220</v>
      </c>
      <c r="C261" s="45" t="s">
        <v>219</v>
      </c>
      <c r="D261" s="46"/>
      <c r="E261" s="8">
        <v>0</v>
      </c>
      <c r="F261" s="44">
        <v>7</v>
      </c>
      <c r="G261" s="92">
        <v>0</v>
      </c>
    </row>
    <row r="262" spans="1:7" ht="15">
      <c r="A262" s="61"/>
      <c r="B262" s="45" t="s">
        <v>221</v>
      </c>
      <c r="C262" s="45" t="s">
        <v>219</v>
      </c>
      <c r="D262" s="46"/>
      <c r="E262" s="8">
        <v>906.58</v>
      </c>
      <c r="F262" s="44">
        <v>7</v>
      </c>
      <c r="G262" s="92">
        <f>E262*F262</f>
        <v>6346.06</v>
      </c>
    </row>
    <row r="263" spans="1:7" ht="15">
      <c r="A263" s="61"/>
      <c r="B263" s="45" t="s">
        <v>222</v>
      </c>
      <c r="C263" s="45" t="s">
        <v>219</v>
      </c>
      <c r="D263" s="46"/>
      <c r="E263" s="93">
        <v>91.24</v>
      </c>
      <c r="F263" s="44">
        <v>7</v>
      </c>
      <c r="G263" s="92">
        <f>E263*F263</f>
        <v>638.68</v>
      </c>
    </row>
    <row r="264" spans="1:7" ht="15">
      <c r="A264" s="61"/>
      <c r="B264" s="45" t="s">
        <v>223</v>
      </c>
      <c r="C264" s="45" t="s">
        <v>194</v>
      </c>
      <c r="D264" s="46"/>
      <c r="E264" s="8">
        <v>1.2</v>
      </c>
      <c r="F264" s="44">
        <v>0</v>
      </c>
      <c r="G264" s="95">
        <v>0</v>
      </c>
    </row>
    <row r="265" spans="1:7" ht="15">
      <c r="A265" s="61"/>
      <c r="B265" s="45" t="s">
        <v>224</v>
      </c>
      <c r="C265" s="45" t="s">
        <v>219</v>
      </c>
      <c r="D265" s="46"/>
      <c r="E265" s="93">
        <f>104.9/12</f>
        <v>8.741666666666667</v>
      </c>
      <c r="F265" s="44">
        <v>0</v>
      </c>
      <c r="G265" s="95">
        <v>0</v>
      </c>
    </row>
    <row r="266" spans="1:7" ht="15">
      <c r="A266" s="61"/>
      <c r="B266" s="45" t="s">
        <v>225</v>
      </c>
      <c r="C266" s="45" t="s">
        <v>194</v>
      </c>
      <c r="D266" s="46"/>
      <c r="E266" s="8">
        <v>0.32</v>
      </c>
      <c r="F266" s="44">
        <v>14944.7</v>
      </c>
      <c r="G266" s="92">
        <f>E266*F266/12</f>
        <v>398.5253333333333</v>
      </c>
    </row>
    <row r="267" spans="1:7" ht="15">
      <c r="A267" s="61"/>
      <c r="B267" s="45" t="s">
        <v>226</v>
      </c>
      <c r="C267" s="45" t="s">
        <v>194</v>
      </c>
      <c r="D267" s="46"/>
      <c r="E267" s="8">
        <v>0.3</v>
      </c>
      <c r="F267" s="44">
        <v>14944.7</v>
      </c>
      <c r="G267" s="92">
        <f>E267*F267/12</f>
        <v>373.6175</v>
      </c>
    </row>
    <row r="268" spans="1:7" ht="15">
      <c r="A268" s="61"/>
      <c r="B268" s="45" t="s">
        <v>227</v>
      </c>
      <c r="C268" s="45" t="s">
        <v>219</v>
      </c>
      <c r="D268" s="46"/>
      <c r="E268" s="8">
        <v>300</v>
      </c>
      <c r="F268" s="44">
        <v>1</v>
      </c>
      <c r="G268" s="92">
        <f>E268*F268</f>
        <v>300</v>
      </c>
    </row>
    <row r="269" spans="1:7" ht="15.75" thickBot="1">
      <c r="A269" s="96"/>
      <c r="B269" s="50" t="s">
        <v>238</v>
      </c>
      <c r="C269" s="50" t="s">
        <v>219</v>
      </c>
      <c r="D269" s="70"/>
      <c r="E269" s="51">
        <v>300</v>
      </c>
      <c r="F269" s="71">
        <v>1</v>
      </c>
      <c r="G269" s="72">
        <f>E269*F269</f>
        <v>300</v>
      </c>
    </row>
    <row r="270" spans="1:7" ht="15">
      <c r="A270" s="66">
        <v>17</v>
      </c>
      <c r="B270" s="97" t="s">
        <v>229</v>
      </c>
      <c r="C270" s="67"/>
      <c r="D270" s="68"/>
      <c r="E270" s="6"/>
      <c r="F270" s="69"/>
      <c r="G270" s="98">
        <f>G271+G272</f>
        <v>211.49613008333336</v>
      </c>
    </row>
    <row r="271" spans="1:7" ht="15">
      <c r="A271" s="43"/>
      <c r="B271" s="44" t="s">
        <v>244</v>
      </c>
      <c r="C271" s="45" t="s">
        <v>231</v>
      </c>
      <c r="D271" s="46"/>
      <c r="E271" s="93">
        <f>1.1*15.51*1.1</f>
        <v>18.767100000000003</v>
      </c>
      <c r="F271" s="44">
        <v>45.31</v>
      </c>
      <c r="G271" s="92">
        <f>E271*F271/12</f>
        <v>70.86144175000001</v>
      </c>
    </row>
    <row r="272" spans="1:7" ht="15">
      <c r="A272" s="43"/>
      <c r="B272" s="44" t="s">
        <v>232</v>
      </c>
      <c r="C272" s="45" t="s">
        <v>231</v>
      </c>
      <c r="D272" s="46"/>
      <c r="E272" s="93">
        <f>1.1*33.86</f>
        <v>37.246</v>
      </c>
      <c r="F272" s="44">
        <v>45.31</v>
      </c>
      <c r="G272" s="92">
        <f>E272*F272/12</f>
        <v>140.63468833333334</v>
      </c>
    </row>
    <row r="273" spans="1:7" ht="15">
      <c r="A273" s="43">
        <v>18</v>
      </c>
      <c r="B273" s="99" t="s">
        <v>107</v>
      </c>
      <c r="C273" s="45" t="s">
        <v>194</v>
      </c>
      <c r="D273" s="46"/>
      <c r="E273" s="8">
        <v>0.5</v>
      </c>
      <c r="F273" s="44">
        <v>14944.7</v>
      </c>
      <c r="G273" s="100">
        <f>E273*F273</f>
        <v>7472.35</v>
      </c>
    </row>
    <row r="274" spans="1:7" ht="15.75" thickBot="1">
      <c r="A274" s="43">
        <v>19</v>
      </c>
      <c r="B274" s="99" t="s">
        <v>233</v>
      </c>
      <c r="C274" s="45" t="s">
        <v>194</v>
      </c>
      <c r="D274" s="46"/>
      <c r="E274" s="8">
        <v>1.1</v>
      </c>
      <c r="F274" s="44">
        <v>14944.7</v>
      </c>
      <c r="G274" s="83">
        <f>E274*F274</f>
        <v>16439.170000000002</v>
      </c>
    </row>
    <row r="275" spans="1:7" ht="15">
      <c r="A275" s="73"/>
      <c r="B275" s="101" t="s">
        <v>234</v>
      </c>
      <c r="C275" s="75"/>
      <c r="D275" s="81"/>
      <c r="E275" s="6"/>
      <c r="F275" s="77"/>
      <c r="G275" s="78">
        <f>G252+G253+G254+G255+G270+G273+G274</f>
        <v>156283.5493872987</v>
      </c>
    </row>
    <row r="276" spans="1:7" ht="15">
      <c r="A276" s="44" t="s">
        <v>252</v>
      </c>
      <c r="B276" s="45"/>
      <c r="C276" s="46"/>
      <c r="D276" s="8"/>
      <c r="E276" s="44"/>
      <c r="F276" s="44"/>
      <c r="G276" s="102">
        <f>G275/F231</f>
        <v>10.457456448593728</v>
      </c>
    </row>
    <row r="277" spans="1:7" ht="15">
      <c r="A277" s="53"/>
      <c r="B277" s="54"/>
      <c r="C277" s="55"/>
      <c r="D277" s="103"/>
      <c r="E277" s="8"/>
      <c r="F277" s="54"/>
      <c r="G277" s="104"/>
    </row>
    <row r="278" spans="1:7" ht="14.25">
      <c r="A278" s="105"/>
      <c r="B278" s="106"/>
      <c r="C278" s="107"/>
      <c r="D278" s="11"/>
      <c r="E278" s="108"/>
      <c r="F278" s="109"/>
      <c r="G278" s="110"/>
    </row>
    <row r="279" spans="1:7" ht="15" thickBot="1">
      <c r="A279" s="49">
        <v>20</v>
      </c>
      <c r="B279" s="79" t="s">
        <v>56</v>
      </c>
      <c r="C279" s="79"/>
      <c r="D279" s="111"/>
      <c r="E279" s="112">
        <v>2.64</v>
      </c>
      <c r="F279" s="114">
        <f>F231</f>
        <v>14944.7</v>
      </c>
      <c r="G279" s="113">
        <f>E279*F279</f>
        <v>39454.008</v>
      </c>
    </row>
    <row r="280" ht="15.75" thickBot="1"/>
    <row r="281" spans="1:7" ht="15">
      <c r="A281" s="140" t="s">
        <v>1</v>
      </c>
      <c r="B281" s="142" t="s">
        <v>181</v>
      </c>
      <c r="C281" s="143"/>
      <c r="D281" s="143"/>
      <c r="E281" s="143"/>
      <c r="F281" s="143"/>
      <c r="G281" s="144"/>
    </row>
    <row r="282" spans="1:7" ht="15.75" thickBot="1">
      <c r="A282" s="141"/>
      <c r="B282" s="145" t="s">
        <v>245</v>
      </c>
      <c r="C282" s="146"/>
      <c r="D282" s="146"/>
      <c r="E282" s="146"/>
      <c r="F282" s="146"/>
      <c r="G282" s="147"/>
    </row>
    <row r="283" spans="1:7" ht="43.5" thickBot="1">
      <c r="A283" s="29"/>
      <c r="B283" s="30" t="s">
        <v>183</v>
      </c>
      <c r="C283" s="31" t="s">
        <v>184</v>
      </c>
      <c r="D283" s="31" t="s">
        <v>185</v>
      </c>
      <c r="E283" s="31" t="s">
        <v>186</v>
      </c>
      <c r="F283" s="31" t="s">
        <v>187</v>
      </c>
      <c r="G283" s="32" t="s">
        <v>188</v>
      </c>
    </row>
    <row r="284" spans="1:7" ht="15.75" thickBot="1">
      <c r="A284" s="33"/>
      <c r="B284" s="34" t="s">
        <v>189</v>
      </c>
      <c r="C284" s="35"/>
      <c r="D284" s="35"/>
      <c r="E284" s="36"/>
      <c r="F284" s="35"/>
      <c r="G284" s="37" t="s">
        <v>236</v>
      </c>
    </row>
    <row r="285" spans="1:7" ht="15.75" thickBot="1">
      <c r="A285" s="38">
        <v>1</v>
      </c>
      <c r="B285" s="39" t="s">
        <v>190</v>
      </c>
      <c r="C285" s="40"/>
      <c r="D285" s="40"/>
      <c r="E285" s="41"/>
      <c r="F285" s="40"/>
      <c r="G285" s="42">
        <f>G286+G287</f>
        <v>30418.3043714</v>
      </c>
    </row>
    <row r="286" spans="1:7" ht="15">
      <c r="A286" s="43"/>
      <c r="B286" s="44" t="s">
        <v>191</v>
      </c>
      <c r="C286" s="45" t="s">
        <v>192</v>
      </c>
      <c r="D286" s="46">
        <v>320</v>
      </c>
      <c r="E286" s="8">
        <v>49.72</v>
      </c>
      <c r="F286" s="44">
        <v>397</v>
      </c>
      <c r="G286" s="47">
        <f>E286*F286</f>
        <v>19738.84</v>
      </c>
    </row>
    <row r="287" spans="1:7" ht="15.75" thickBot="1">
      <c r="A287" s="43"/>
      <c r="B287" s="44" t="s">
        <v>193</v>
      </c>
      <c r="C287" s="45" t="s">
        <v>194</v>
      </c>
      <c r="D287" s="46">
        <v>37700</v>
      </c>
      <c r="E287" s="8">
        <v>422.06</v>
      </c>
      <c r="F287" s="44">
        <v>25303.19</v>
      </c>
      <c r="G287" s="47">
        <f>E287*F287/1000</f>
        <v>10679.4643714</v>
      </c>
    </row>
    <row r="288" spans="1:7" ht="15.75" thickBot="1">
      <c r="A288" s="33">
        <v>2</v>
      </c>
      <c r="B288" s="34" t="s">
        <v>195</v>
      </c>
      <c r="C288" s="35"/>
      <c r="D288" s="35"/>
      <c r="E288" s="36"/>
      <c r="F288" s="35"/>
      <c r="G288" s="48">
        <f>G289</f>
        <v>2818.7</v>
      </c>
    </row>
    <row r="289" spans="1:7" ht="15.75" thickBot="1">
      <c r="A289" s="49"/>
      <c r="B289" s="50" t="s">
        <v>196</v>
      </c>
      <c r="C289" s="50" t="s">
        <v>192</v>
      </c>
      <c r="D289" s="50">
        <v>2240</v>
      </c>
      <c r="E289" s="51">
        <v>7.1</v>
      </c>
      <c r="F289" s="44">
        <v>397</v>
      </c>
      <c r="G289" s="52">
        <f>E289*F289</f>
        <v>2818.7</v>
      </c>
    </row>
    <row r="290" spans="1:7" ht="15.75" thickBot="1">
      <c r="A290" s="33">
        <v>3</v>
      </c>
      <c r="B290" s="34" t="s">
        <v>197</v>
      </c>
      <c r="C290" s="35"/>
      <c r="D290" s="35"/>
      <c r="E290" s="36"/>
      <c r="F290" s="35"/>
      <c r="G290" s="48">
        <f>G291</f>
        <v>6118.8174057999995</v>
      </c>
    </row>
    <row r="291" spans="1:7" ht="15.75" thickBot="1">
      <c r="A291" s="53"/>
      <c r="B291" s="54" t="s">
        <v>198</v>
      </c>
      <c r="C291" s="55" t="s">
        <v>194</v>
      </c>
      <c r="D291" s="56">
        <v>65800</v>
      </c>
      <c r="E291" s="9">
        <v>241.82</v>
      </c>
      <c r="F291" s="44">
        <v>25303.19</v>
      </c>
      <c r="G291" s="47">
        <f>E291*F291/1000</f>
        <v>6118.8174057999995</v>
      </c>
    </row>
    <row r="292" spans="1:7" ht="15.75" thickBot="1">
      <c r="A292" s="29">
        <v>4</v>
      </c>
      <c r="B292" s="57" t="s">
        <v>199</v>
      </c>
      <c r="C292" s="58" t="s">
        <v>192</v>
      </c>
      <c r="D292" s="58">
        <v>1995</v>
      </c>
      <c r="E292" s="59">
        <v>5.74</v>
      </c>
      <c r="F292" s="44">
        <v>397</v>
      </c>
      <c r="G292" s="60">
        <f>E292*F292</f>
        <v>2278.78</v>
      </c>
    </row>
    <row r="293" spans="1:7" ht="15.75" thickBot="1">
      <c r="A293" s="33">
        <v>5</v>
      </c>
      <c r="B293" s="34" t="s">
        <v>200</v>
      </c>
      <c r="C293" s="35"/>
      <c r="D293" s="35"/>
      <c r="E293" s="36"/>
      <c r="F293" s="35"/>
      <c r="G293" s="48">
        <f>G294</f>
        <v>0</v>
      </c>
    </row>
    <row r="294" spans="1:7" ht="15.75" thickBot="1">
      <c r="A294" s="43"/>
      <c r="B294" s="44" t="s">
        <v>201</v>
      </c>
      <c r="C294" s="45" t="s">
        <v>194</v>
      </c>
      <c r="D294" s="46">
        <v>55800</v>
      </c>
      <c r="E294" s="8">
        <v>0</v>
      </c>
      <c r="F294" s="44">
        <v>25303.19</v>
      </c>
      <c r="G294" s="47">
        <f>E294*F294/1000</f>
        <v>0</v>
      </c>
    </row>
    <row r="295" spans="1:7" ht="15.75" thickBot="1">
      <c r="A295" s="33">
        <v>6</v>
      </c>
      <c r="B295" s="34" t="s">
        <v>202</v>
      </c>
      <c r="C295" s="35"/>
      <c r="D295" s="35"/>
      <c r="E295" s="36"/>
      <c r="F295" s="35"/>
      <c r="G295" s="48">
        <f>G296</f>
        <v>0</v>
      </c>
    </row>
    <row r="296" spans="1:7" ht="15.75" thickBot="1">
      <c r="A296" s="43"/>
      <c r="B296" s="44" t="s">
        <v>201</v>
      </c>
      <c r="C296" s="45" t="s">
        <v>194</v>
      </c>
      <c r="D296" s="46">
        <v>68000</v>
      </c>
      <c r="E296" s="8">
        <v>0</v>
      </c>
      <c r="F296" s="44">
        <v>25303.19</v>
      </c>
      <c r="G296" s="47">
        <f>E296*F296/1000</f>
        <v>0</v>
      </c>
    </row>
    <row r="297" spans="1:7" ht="15" thickBot="1">
      <c r="A297" s="33">
        <v>7</v>
      </c>
      <c r="B297" s="34" t="s">
        <v>203</v>
      </c>
      <c r="C297" s="34"/>
      <c r="D297" s="34"/>
      <c r="E297" s="34"/>
      <c r="F297" s="34"/>
      <c r="G297" s="48">
        <f>G298</f>
        <v>0</v>
      </c>
    </row>
    <row r="298" spans="1:7" ht="15.75" thickBot="1">
      <c r="A298" s="61"/>
      <c r="B298" s="44" t="s">
        <v>201</v>
      </c>
      <c r="C298" s="45" t="s">
        <v>194</v>
      </c>
      <c r="D298" s="45">
        <v>67000</v>
      </c>
      <c r="E298" s="45">
        <v>0</v>
      </c>
      <c r="F298" s="44">
        <v>25303.19</v>
      </c>
      <c r="G298" s="47">
        <f>E298*F298/1000</f>
        <v>0</v>
      </c>
    </row>
    <row r="299" spans="1:7" ht="15.75" thickBot="1">
      <c r="A299" s="33">
        <v>9</v>
      </c>
      <c r="B299" s="62" t="s">
        <v>204</v>
      </c>
      <c r="C299" s="35"/>
      <c r="D299" s="35"/>
      <c r="E299" s="35"/>
      <c r="F299" s="35"/>
      <c r="G299" s="48">
        <f>G300</f>
        <v>0</v>
      </c>
    </row>
    <row r="300" spans="1:7" ht="15.75" thickBot="1">
      <c r="A300" s="61"/>
      <c r="B300" s="45" t="s">
        <v>205</v>
      </c>
      <c r="C300" s="45" t="s">
        <v>194</v>
      </c>
      <c r="D300" s="45">
        <v>13100</v>
      </c>
      <c r="E300" s="45">
        <v>0</v>
      </c>
      <c r="F300" s="45">
        <v>2409.7</v>
      </c>
      <c r="G300" s="63">
        <f>E300*F300/1000</f>
        <v>0</v>
      </c>
    </row>
    <row r="301" spans="1:7" ht="15" thickBot="1">
      <c r="A301" s="33">
        <v>10</v>
      </c>
      <c r="B301" s="34" t="s">
        <v>45</v>
      </c>
      <c r="C301" s="34" t="s">
        <v>194</v>
      </c>
      <c r="D301" s="34"/>
      <c r="E301" s="64"/>
      <c r="F301" s="34"/>
      <c r="G301" s="65">
        <f>G302</f>
        <v>17300.7586596</v>
      </c>
    </row>
    <row r="302" spans="1:7" ht="15.75" thickBot="1">
      <c r="A302" s="66"/>
      <c r="B302" s="67" t="s">
        <v>206</v>
      </c>
      <c r="C302" s="67"/>
      <c r="D302" s="68">
        <v>1900</v>
      </c>
      <c r="E302" s="6">
        <v>4339.14</v>
      </c>
      <c r="F302" s="69">
        <f>7974.28/2</f>
        <v>3987.14</v>
      </c>
      <c r="G302" s="63">
        <f>E302*F302/1000</f>
        <v>17300.7586596</v>
      </c>
    </row>
    <row r="303" spans="1:7" ht="15" thickBot="1">
      <c r="A303" s="33">
        <v>11</v>
      </c>
      <c r="B303" s="34" t="s">
        <v>102</v>
      </c>
      <c r="C303" s="34" t="s">
        <v>194</v>
      </c>
      <c r="D303" s="34"/>
      <c r="E303" s="64"/>
      <c r="F303" s="34"/>
      <c r="G303" s="65">
        <f>G304</f>
        <v>27060.228134999998</v>
      </c>
    </row>
    <row r="304" spans="1:7" ht="15.75" thickBot="1">
      <c r="A304" s="66"/>
      <c r="B304" s="67" t="s">
        <v>207</v>
      </c>
      <c r="C304" s="67"/>
      <c r="D304" s="68">
        <v>1100</v>
      </c>
      <c r="E304" s="6">
        <v>7494.87</v>
      </c>
      <c r="F304" s="69">
        <f>4910.5-1300</f>
        <v>3610.5</v>
      </c>
      <c r="G304" s="63">
        <f>E304*F304/1000</f>
        <v>27060.228134999998</v>
      </c>
    </row>
    <row r="305" spans="1:7" ht="15" thickBot="1">
      <c r="A305" s="33">
        <v>12</v>
      </c>
      <c r="B305" s="34" t="s">
        <v>103</v>
      </c>
      <c r="C305" s="34" t="s">
        <v>208</v>
      </c>
      <c r="D305" s="34"/>
      <c r="E305" s="64"/>
      <c r="F305" s="34"/>
      <c r="G305" s="65">
        <f>G306</f>
        <v>7273.2</v>
      </c>
    </row>
    <row r="306" spans="1:7" ht="15.75" thickBot="1">
      <c r="A306" s="38"/>
      <c r="B306" s="50" t="s">
        <v>209</v>
      </c>
      <c r="C306" s="50"/>
      <c r="D306" s="70">
        <v>1250</v>
      </c>
      <c r="E306" s="51">
        <v>6.6</v>
      </c>
      <c r="F306" s="71">
        <v>1102</v>
      </c>
      <c r="G306" s="72">
        <f>E306*F306</f>
        <v>7273.2</v>
      </c>
    </row>
    <row r="307" spans="1:7" ht="15">
      <c r="A307" s="73">
        <v>13</v>
      </c>
      <c r="B307" s="74" t="s">
        <v>210</v>
      </c>
      <c r="C307" s="75" t="s">
        <v>211</v>
      </c>
      <c r="D307" s="76" t="s">
        <v>212</v>
      </c>
      <c r="E307" s="6">
        <v>4542.6</v>
      </c>
      <c r="F307" s="77">
        <v>16</v>
      </c>
      <c r="G307" s="78">
        <f>E307*F307</f>
        <v>72681.6</v>
      </c>
    </row>
    <row r="308" spans="1:7" ht="15.75" thickBot="1">
      <c r="A308" s="49"/>
      <c r="B308" s="79" t="s">
        <v>237</v>
      </c>
      <c r="C308" s="50"/>
      <c r="D308" s="70"/>
      <c r="E308" s="51"/>
      <c r="F308" s="71"/>
      <c r="G308" s="80">
        <f>G285+G288+G290+G292+G293+G295+G297+G299+G301+G303+G305+G307</f>
        <v>165950.3885718</v>
      </c>
    </row>
    <row r="309" spans="1:7" ht="15">
      <c r="A309" s="73">
        <v>14</v>
      </c>
      <c r="B309" s="74" t="s">
        <v>214</v>
      </c>
      <c r="C309" s="75"/>
      <c r="D309" s="81"/>
      <c r="E309" s="6"/>
      <c r="F309" s="77"/>
      <c r="G309" s="78">
        <f>G308*0.015</f>
        <v>2489.2558285769996</v>
      </c>
    </row>
    <row r="310" spans="1:7" ht="15">
      <c r="A310" s="43">
        <v>15</v>
      </c>
      <c r="B310" s="82" t="s">
        <v>95</v>
      </c>
      <c r="C310" s="45"/>
      <c r="D310" s="46"/>
      <c r="E310" s="8"/>
      <c r="F310" s="44"/>
      <c r="G310" s="83">
        <f>0.09*F312</f>
        <v>2277.2871</v>
      </c>
    </row>
    <row r="311" spans="1:7" ht="15.75" thickBot="1">
      <c r="A311" s="84">
        <v>16</v>
      </c>
      <c r="B311" s="85" t="s">
        <v>91</v>
      </c>
      <c r="C311" s="86"/>
      <c r="D311" s="87"/>
      <c r="E311" s="51"/>
      <c r="F311" s="88"/>
      <c r="G311" s="89">
        <f>G312+G313+G314+G315+G316+G317+G318+G319+G320+G321+G322+G323+G324+G325</f>
        <v>56100.50341666666</v>
      </c>
    </row>
    <row r="312" spans="1:7" ht="15">
      <c r="A312" s="90"/>
      <c r="B312" s="75" t="s">
        <v>105</v>
      </c>
      <c r="C312" s="75" t="s">
        <v>194</v>
      </c>
      <c r="D312" s="81"/>
      <c r="E312" s="6">
        <v>0.83</v>
      </c>
      <c r="F312" s="44">
        <v>25303.19</v>
      </c>
      <c r="G312" s="91">
        <f>E312*F312</f>
        <v>21001.647699999998</v>
      </c>
    </row>
    <row r="313" spans="1:7" ht="15">
      <c r="A313" s="61"/>
      <c r="B313" s="45" t="s">
        <v>215</v>
      </c>
      <c r="C313" s="45" t="s">
        <v>194</v>
      </c>
      <c r="D313" s="46"/>
      <c r="E313" s="8">
        <v>0.05</v>
      </c>
      <c r="F313" s="44">
        <v>2530.3</v>
      </c>
      <c r="G313" s="92">
        <f>E313*F313</f>
        <v>126.51500000000001</v>
      </c>
    </row>
    <row r="314" spans="1:7" ht="15">
      <c r="A314" s="61"/>
      <c r="B314" s="45" t="s">
        <v>216</v>
      </c>
      <c r="C314" s="45" t="s">
        <v>194</v>
      </c>
      <c r="D314" s="46"/>
      <c r="E314" s="93">
        <v>0.08</v>
      </c>
      <c r="F314" s="44">
        <v>2530.3</v>
      </c>
      <c r="G314" s="92">
        <f>E314*F314</f>
        <v>202.424</v>
      </c>
    </row>
    <row r="315" spans="1:7" ht="15">
      <c r="A315" s="94"/>
      <c r="B315" s="45" t="s">
        <v>217</v>
      </c>
      <c r="C315" s="45" t="s">
        <v>194</v>
      </c>
      <c r="D315" s="46"/>
      <c r="E315" s="45">
        <v>0.01</v>
      </c>
      <c r="F315" s="44">
        <v>25303.19</v>
      </c>
      <c r="G315" s="92">
        <f>E315*F315</f>
        <v>253.03189999999998</v>
      </c>
    </row>
    <row r="316" spans="1:7" ht="15">
      <c r="A316" s="61"/>
      <c r="B316" s="45" t="s">
        <v>218</v>
      </c>
      <c r="C316" s="45" t="s">
        <v>219</v>
      </c>
      <c r="D316" s="46"/>
      <c r="E316" s="8">
        <v>76.1</v>
      </c>
      <c r="F316" s="44">
        <v>16</v>
      </c>
      <c r="G316" s="92">
        <f>E316*F316</f>
        <v>1217.6</v>
      </c>
    </row>
    <row r="317" spans="1:7" ht="15">
      <c r="A317" s="61"/>
      <c r="B317" s="45" t="s">
        <v>220</v>
      </c>
      <c r="C317" s="45" t="s">
        <v>219</v>
      </c>
      <c r="D317" s="46"/>
      <c r="E317" s="8">
        <v>0</v>
      </c>
      <c r="F317" s="44">
        <v>16</v>
      </c>
      <c r="G317" s="92">
        <v>0</v>
      </c>
    </row>
    <row r="318" spans="1:7" ht="15">
      <c r="A318" s="61"/>
      <c r="B318" s="45" t="s">
        <v>221</v>
      </c>
      <c r="C318" s="45" t="s">
        <v>219</v>
      </c>
      <c r="D318" s="46"/>
      <c r="E318" s="8">
        <v>906.58</v>
      </c>
      <c r="F318" s="44">
        <v>16</v>
      </c>
      <c r="G318" s="92">
        <f>E318*F318</f>
        <v>14505.28</v>
      </c>
    </row>
    <row r="319" spans="1:7" ht="15">
      <c r="A319" s="61"/>
      <c r="B319" s="45" t="s">
        <v>222</v>
      </c>
      <c r="C319" s="45" t="s">
        <v>219</v>
      </c>
      <c r="D319" s="46"/>
      <c r="E319" s="93">
        <v>91.24</v>
      </c>
      <c r="F319" s="44">
        <v>16</v>
      </c>
      <c r="G319" s="92">
        <f>E319*F319</f>
        <v>1459.84</v>
      </c>
    </row>
    <row r="320" spans="1:7" ht="15">
      <c r="A320" s="61"/>
      <c r="B320" s="45" t="s">
        <v>223</v>
      </c>
      <c r="C320" s="45" t="s">
        <v>194</v>
      </c>
      <c r="D320" s="46"/>
      <c r="E320" s="8">
        <v>1.19</v>
      </c>
      <c r="F320" s="44">
        <v>10500</v>
      </c>
      <c r="G320" s="92">
        <f>E320*F320</f>
        <v>12495</v>
      </c>
    </row>
    <row r="321" spans="1:7" ht="15">
      <c r="A321" s="61"/>
      <c r="B321" s="45" t="s">
        <v>224</v>
      </c>
      <c r="C321" s="45" t="s">
        <v>219</v>
      </c>
      <c r="D321" s="46"/>
      <c r="E321" s="93">
        <v>8.74</v>
      </c>
      <c r="F321" s="44">
        <v>275</v>
      </c>
      <c r="G321" s="92">
        <f>E321*F321</f>
        <v>2403.5</v>
      </c>
    </row>
    <row r="322" spans="1:7" ht="15">
      <c r="A322" s="61"/>
      <c r="B322" s="45" t="s">
        <v>225</v>
      </c>
      <c r="C322" s="45" t="s">
        <v>194</v>
      </c>
      <c r="D322" s="46"/>
      <c r="E322" s="8">
        <v>0.32</v>
      </c>
      <c r="F322" s="44">
        <v>12303.19</v>
      </c>
      <c r="G322" s="92">
        <f>E322*F322/12</f>
        <v>328.0850666666667</v>
      </c>
    </row>
    <row r="323" spans="1:7" ht="15">
      <c r="A323" s="61"/>
      <c r="B323" s="45" t="s">
        <v>226</v>
      </c>
      <c r="C323" s="45" t="s">
        <v>194</v>
      </c>
      <c r="D323" s="46"/>
      <c r="E323" s="8">
        <v>0.3</v>
      </c>
      <c r="F323" s="44">
        <v>12303.19</v>
      </c>
      <c r="G323" s="92">
        <f>E323*F323/12</f>
        <v>307.57975</v>
      </c>
    </row>
    <row r="324" spans="1:7" ht="15">
      <c r="A324" s="61"/>
      <c r="B324" s="45" t="s">
        <v>227</v>
      </c>
      <c r="C324" s="45" t="s">
        <v>219</v>
      </c>
      <c r="D324" s="46"/>
      <c r="E324" s="8">
        <v>300</v>
      </c>
      <c r="F324" s="44">
        <v>3</v>
      </c>
      <c r="G324" s="92">
        <f>E324*F324</f>
        <v>900</v>
      </c>
    </row>
    <row r="325" spans="1:7" ht="15.75" thickBot="1">
      <c r="A325" s="96"/>
      <c r="B325" s="50" t="s">
        <v>238</v>
      </c>
      <c r="C325" s="50" t="s">
        <v>219</v>
      </c>
      <c r="D325" s="70"/>
      <c r="E325" s="51">
        <v>300</v>
      </c>
      <c r="F325" s="71">
        <v>3</v>
      </c>
      <c r="G325" s="72">
        <f>E325*F325</f>
        <v>900</v>
      </c>
    </row>
    <row r="326" spans="1:7" ht="15">
      <c r="A326" s="66">
        <v>17</v>
      </c>
      <c r="B326" s="97" t="s">
        <v>229</v>
      </c>
      <c r="C326" s="67"/>
      <c r="D326" s="68"/>
      <c r="E326" s="6"/>
      <c r="F326" s="69"/>
      <c r="G326" s="98">
        <f>G327+G328</f>
        <v>497.44300558333333</v>
      </c>
    </row>
    <row r="327" spans="1:7" ht="15">
      <c r="A327" s="43"/>
      <c r="B327" s="44" t="s">
        <v>230</v>
      </c>
      <c r="C327" s="45" t="s">
        <v>231</v>
      </c>
      <c r="D327" s="46"/>
      <c r="E327" s="93">
        <f>1.1*15.51*1.1</f>
        <v>18.767100000000003</v>
      </c>
      <c r="F327" s="44">
        <v>106.57</v>
      </c>
      <c r="G327" s="92">
        <f>E327*F327/12</f>
        <v>166.66748725000002</v>
      </c>
    </row>
    <row r="328" spans="1:7" ht="15">
      <c r="A328" s="43"/>
      <c r="B328" s="44" t="s">
        <v>232</v>
      </c>
      <c r="C328" s="45" t="s">
        <v>231</v>
      </c>
      <c r="D328" s="46"/>
      <c r="E328" s="93">
        <f>1.1*33.86</f>
        <v>37.246</v>
      </c>
      <c r="F328" s="44">
        <v>106.57</v>
      </c>
      <c r="G328" s="92">
        <f>E328*F328/12</f>
        <v>330.7755183333333</v>
      </c>
    </row>
    <row r="329" spans="1:7" ht="15">
      <c r="A329" s="43">
        <v>18</v>
      </c>
      <c r="B329" s="99" t="s">
        <v>107</v>
      </c>
      <c r="C329" s="45" t="s">
        <v>194</v>
      </c>
      <c r="D329" s="46"/>
      <c r="E329" s="8">
        <v>0.5</v>
      </c>
      <c r="F329" s="44">
        <v>25303.19</v>
      </c>
      <c r="G329" s="83">
        <f>E329*F329</f>
        <v>12651.595</v>
      </c>
    </row>
    <row r="330" spans="1:7" ht="15.75" thickBot="1">
      <c r="A330" s="43">
        <v>19</v>
      </c>
      <c r="B330" s="99" t="s">
        <v>233</v>
      </c>
      <c r="C330" s="45" t="s">
        <v>194</v>
      </c>
      <c r="D330" s="46"/>
      <c r="E330" s="8">
        <v>0.98</v>
      </c>
      <c r="F330" s="44">
        <v>25303.19</v>
      </c>
      <c r="G330" s="83">
        <f>E330*F330</f>
        <v>24797.1262</v>
      </c>
    </row>
    <row r="331" spans="1:7" ht="15">
      <c r="A331" s="73"/>
      <c r="B331" s="101" t="s">
        <v>234</v>
      </c>
      <c r="C331" s="75"/>
      <c r="D331" s="81"/>
      <c r="E331" s="6"/>
      <c r="F331" s="77"/>
      <c r="G331" s="78">
        <f>G308+G309+G310+G311+G326+G329+G330</f>
        <v>264763.599122627</v>
      </c>
    </row>
    <row r="332" spans="1:7" ht="15">
      <c r="A332" s="44" t="s">
        <v>252</v>
      </c>
      <c r="B332" s="45"/>
      <c r="C332" s="46"/>
      <c r="D332" s="8"/>
      <c r="E332" s="44"/>
      <c r="F332" s="44"/>
      <c r="G332" s="102">
        <f>G331/F287</f>
        <v>10.463645063038573</v>
      </c>
    </row>
    <row r="333" spans="1:7" ht="15">
      <c r="A333" s="53"/>
      <c r="B333" s="54"/>
      <c r="C333" s="55"/>
      <c r="D333" s="103"/>
      <c r="E333" s="8"/>
      <c r="F333" s="54"/>
      <c r="G333" s="104"/>
    </row>
    <row r="334" spans="1:7" ht="14.25">
      <c r="A334" s="105"/>
      <c r="B334" s="106"/>
      <c r="C334" s="107"/>
      <c r="D334" s="11"/>
      <c r="E334" s="108"/>
      <c r="F334" s="109"/>
      <c r="G334" s="110"/>
    </row>
    <row r="335" spans="1:7" ht="15" thickBot="1">
      <c r="A335" s="49">
        <v>20</v>
      </c>
      <c r="B335" s="79" t="s">
        <v>56</v>
      </c>
      <c r="C335" s="79"/>
      <c r="D335" s="111"/>
      <c r="E335" s="112">
        <v>2.64</v>
      </c>
      <c r="F335" s="114">
        <f>F287</f>
        <v>25303.19</v>
      </c>
      <c r="G335" s="113">
        <f>E335*F335</f>
        <v>66800.4216</v>
      </c>
    </row>
    <row r="336" ht="15.75" thickBot="1"/>
    <row r="337" spans="1:7" ht="15">
      <c r="A337" s="140" t="s">
        <v>1</v>
      </c>
      <c r="B337" s="148" t="s">
        <v>181</v>
      </c>
      <c r="C337" s="149"/>
      <c r="D337" s="149"/>
      <c r="E337" s="149"/>
      <c r="F337" s="149"/>
      <c r="G337" s="150"/>
    </row>
    <row r="338" spans="1:7" ht="15.75" thickBot="1">
      <c r="A338" s="141"/>
      <c r="B338" s="126" t="s">
        <v>246</v>
      </c>
      <c r="C338" s="127"/>
      <c r="D338" s="127"/>
      <c r="E338" s="127"/>
      <c r="F338" s="127"/>
      <c r="G338" s="128"/>
    </row>
    <row r="339" spans="1:7" ht="43.5" thickBot="1">
      <c r="A339" s="29"/>
      <c r="B339" s="115" t="s">
        <v>183</v>
      </c>
      <c r="C339" s="116" t="s">
        <v>184</v>
      </c>
      <c r="D339" s="116" t="s">
        <v>185</v>
      </c>
      <c r="E339" s="116" t="s">
        <v>186</v>
      </c>
      <c r="F339" s="116" t="s">
        <v>187</v>
      </c>
      <c r="G339" s="117" t="s">
        <v>188</v>
      </c>
    </row>
    <row r="340" spans="1:7" ht="15.75" thickBot="1">
      <c r="A340" s="33"/>
      <c r="B340" s="34" t="s">
        <v>189</v>
      </c>
      <c r="C340" s="35"/>
      <c r="D340" s="35"/>
      <c r="E340" s="36"/>
      <c r="F340" s="35"/>
      <c r="G340" s="37" t="s">
        <v>236</v>
      </c>
    </row>
    <row r="341" spans="1:7" ht="15.75" thickBot="1">
      <c r="A341" s="38">
        <v>1</v>
      </c>
      <c r="B341" s="39" t="s">
        <v>190</v>
      </c>
      <c r="C341" s="40"/>
      <c r="D341" s="40"/>
      <c r="E341" s="41"/>
      <c r="F341" s="40"/>
      <c r="G341" s="42">
        <f>G342+G343</f>
        <v>26384.547476</v>
      </c>
    </row>
    <row r="342" spans="1:7" ht="15">
      <c r="A342" s="43"/>
      <c r="B342" s="44" t="s">
        <v>191</v>
      </c>
      <c r="C342" s="45" t="s">
        <v>192</v>
      </c>
      <c r="D342" s="46">
        <v>320</v>
      </c>
      <c r="E342" s="8">
        <v>49.72</v>
      </c>
      <c r="F342" s="44">
        <v>360</v>
      </c>
      <c r="G342" s="47">
        <f>E342*F342</f>
        <v>17899.2</v>
      </c>
    </row>
    <row r="343" spans="1:7" ht="15.75" thickBot="1">
      <c r="A343" s="43"/>
      <c r="B343" s="44" t="s">
        <v>193</v>
      </c>
      <c r="C343" s="45" t="s">
        <v>194</v>
      </c>
      <c r="D343" s="46">
        <v>37700</v>
      </c>
      <c r="E343" s="8">
        <v>422.06</v>
      </c>
      <c r="F343" s="44">
        <v>20104.6</v>
      </c>
      <c r="G343" s="47">
        <f>E343*F343/1000</f>
        <v>8485.347475999999</v>
      </c>
    </row>
    <row r="344" spans="1:7" ht="15.75" thickBot="1">
      <c r="A344" s="33">
        <v>2</v>
      </c>
      <c r="B344" s="34" t="s">
        <v>195</v>
      </c>
      <c r="C344" s="35"/>
      <c r="D344" s="35"/>
      <c r="E344" s="36"/>
      <c r="F344" s="35"/>
      <c r="G344" s="48">
        <f>G345</f>
        <v>2556</v>
      </c>
    </row>
    <row r="345" spans="1:7" ht="15.75" thickBot="1">
      <c r="A345" s="49"/>
      <c r="B345" s="50" t="s">
        <v>196</v>
      </c>
      <c r="C345" s="50" t="s">
        <v>192</v>
      </c>
      <c r="D345" s="50">
        <v>2240</v>
      </c>
      <c r="E345" s="51">
        <v>7.1</v>
      </c>
      <c r="F345" s="44">
        <v>360</v>
      </c>
      <c r="G345" s="52">
        <f>E345*F345</f>
        <v>2556</v>
      </c>
    </row>
    <row r="346" spans="1:7" ht="15.75" thickBot="1">
      <c r="A346" s="33">
        <v>3</v>
      </c>
      <c r="B346" s="34" t="s">
        <v>197</v>
      </c>
      <c r="C346" s="35"/>
      <c r="D346" s="35"/>
      <c r="E346" s="36"/>
      <c r="F346" s="35"/>
      <c r="G346" s="48">
        <f>G347</f>
        <v>4861.694372</v>
      </c>
    </row>
    <row r="347" spans="1:7" ht="15.75" thickBot="1">
      <c r="A347" s="53"/>
      <c r="B347" s="54" t="s">
        <v>198</v>
      </c>
      <c r="C347" s="55" t="s">
        <v>194</v>
      </c>
      <c r="D347" s="56">
        <v>65800</v>
      </c>
      <c r="E347" s="9">
        <v>241.82</v>
      </c>
      <c r="F347" s="44">
        <v>20104.6</v>
      </c>
      <c r="G347" s="47">
        <f>E347*F347/1000</f>
        <v>4861.694372</v>
      </c>
    </row>
    <row r="348" spans="1:7" ht="15.75" thickBot="1">
      <c r="A348" s="29">
        <v>4</v>
      </c>
      <c r="B348" s="57" t="s">
        <v>199</v>
      </c>
      <c r="C348" s="58" t="s">
        <v>192</v>
      </c>
      <c r="D348" s="58">
        <v>1995</v>
      </c>
      <c r="E348" s="59">
        <v>5.74</v>
      </c>
      <c r="F348" s="44">
        <v>360</v>
      </c>
      <c r="G348" s="60">
        <f>E348*F348</f>
        <v>2066.4</v>
      </c>
    </row>
    <row r="349" spans="1:7" ht="15.75" thickBot="1">
      <c r="A349" s="33">
        <v>5</v>
      </c>
      <c r="B349" s="34" t="s">
        <v>200</v>
      </c>
      <c r="C349" s="35"/>
      <c r="D349" s="35"/>
      <c r="E349" s="36"/>
      <c r="F349" s="35"/>
      <c r="G349" s="48">
        <f>G350</f>
        <v>4871.545625999999</v>
      </c>
    </row>
    <row r="350" spans="1:7" ht="15.75" thickBot="1">
      <c r="A350" s="43"/>
      <c r="B350" s="44" t="s">
        <v>201</v>
      </c>
      <c r="C350" s="45" t="s">
        <v>194</v>
      </c>
      <c r="D350" s="46">
        <v>55800</v>
      </c>
      <c r="E350" s="8">
        <v>242.31</v>
      </c>
      <c r="F350" s="44">
        <v>20104.6</v>
      </c>
      <c r="G350" s="47">
        <f>E350*F350/1000</f>
        <v>4871.545625999999</v>
      </c>
    </row>
    <row r="351" spans="1:7" ht="15.75" thickBot="1">
      <c r="A351" s="33">
        <v>6</v>
      </c>
      <c r="B351" s="34" t="s">
        <v>202</v>
      </c>
      <c r="C351" s="35"/>
      <c r="D351" s="35"/>
      <c r="E351" s="36"/>
      <c r="F351" s="35"/>
      <c r="G351" s="48">
        <f>G352</f>
        <v>3388.027192</v>
      </c>
    </row>
    <row r="352" spans="1:7" ht="15.75" thickBot="1">
      <c r="A352" s="43"/>
      <c r="B352" s="44" t="s">
        <v>201</v>
      </c>
      <c r="C352" s="45" t="s">
        <v>194</v>
      </c>
      <c r="D352" s="46">
        <v>68000</v>
      </c>
      <c r="E352" s="8">
        <v>168.52</v>
      </c>
      <c r="F352" s="44">
        <v>20104.6</v>
      </c>
      <c r="G352" s="47">
        <f>E352*F352/1000</f>
        <v>3388.027192</v>
      </c>
    </row>
    <row r="353" spans="1:7" ht="15" thickBot="1">
      <c r="A353" s="33">
        <v>7</v>
      </c>
      <c r="B353" s="34" t="s">
        <v>203</v>
      </c>
      <c r="C353" s="34"/>
      <c r="D353" s="34"/>
      <c r="E353" s="34"/>
      <c r="F353" s="34"/>
      <c r="G353" s="48">
        <f>G354</f>
        <v>2710.10008</v>
      </c>
    </row>
    <row r="354" spans="1:7" ht="15.75" thickBot="1">
      <c r="A354" s="61"/>
      <c r="B354" s="44" t="s">
        <v>201</v>
      </c>
      <c r="C354" s="45" t="s">
        <v>194</v>
      </c>
      <c r="D354" s="45">
        <v>67000</v>
      </c>
      <c r="E354" s="45">
        <v>134.8</v>
      </c>
      <c r="F354" s="44">
        <v>20104.6</v>
      </c>
      <c r="G354" s="47">
        <f>E354*F354/1000</f>
        <v>2710.10008</v>
      </c>
    </row>
    <row r="355" spans="1:7" ht="15.75" thickBot="1">
      <c r="A355" s="33">
        <v>9</v>
      </c>
      <c r="B355" s="62" t="s">
        <v>204</v>
      </c>
      <c r="C355" s="35"/>
      <c r="D355" s="35"/>
      <c r="E355" s="35"/>
      <c r="F355" s="35"/>
      <c r="G355" s="48">
        <f>G356</f>
        <v>2458.5098399999997</v>
      </c>
    </row>
    <row r="356" spans="1:7" ht="15.75" thickBot="1">
      <c r="A356" s="61"/>
      <c r="B356" s="45" t="s">
        <v>205</v>
      </c>
      <c r="C356" s="45" t="s">
        <v>194</v>
      </c>
      <c r="D356" s="45">
        <v>13100</v>
      </c>
      <c r="E356" s="45">
        <v>1032.12</v>
      </c>
      <c r="F356" s="45">
        <v>2382</v>
      </c>
      <c r="G356" s="63">
        <f>E356*F356/1000</f>
        <v>2458.5098399999997</v>
      </c>
    </row>
    <row r="357" spans="1:7" ht="15" thickBot="1">
      <c r="A357" s="33">
        <v>10</v>
      </c>
      <c r="B357" s="34" t="s">
        <v>45</v>
      </c>
      <c r="C357" s="34" t="s">
        <v>194</v>
      </c>
      <c r="D357" s="34"/>
      <c r="E357" s="64"/>
      <c r="F357" s="34"/>
      <c r="G357" s="65">
        <f>G358</f>
        <v>18060.368508</v>
      </c>
    </row>
    <row r="358" spans="1:7" ht="15.75" thickBot="1">
      <c r="A358" s="66"/>
      <c r="B358" s="67" t="s">
        <v>206</v>
      </c>
      <c r="C358" s="67"/>
      <c r="D358" s="68">
        <v>1900</v>
      </c>
      <c r="E358" s="6">
        <v>4339.14</v>
      </c>
      <c r="F358" s="69">
        <v>4162.2</v>
      </c>
      <c r="G358" s="63">
        <f>E358*F358/1000</f>
        <v>18060.368508</v>
      </c>
    </row>
    <row r="359" spans="1:7" ht="15" thickBot="1">
      <c r="A359" s="33">
        <v>11</v>
      </c>
      <c r="B359" s="34" t="s">
        <v>102</v>
      </c>
      <c r="C359" s="34" t="s">
        <v>194</v>
      </c>
      <c r="D359" s="34"/>
      <c r="E359" s="64"/>
      <c r="F359" s="34"/>
      <c r="G359" s="65">
        <f>G360</f>
        <v>21059.085726</v>
      </c>
    </row>
    <row r="360" spans="1:7" ht="15.75" thickBot="1">
      <c r="A360" s="66"/>
      <c r="B360" s="67" t="s">
        <v>207</v>
      </c>
      <c r="C360" s="67"/>
      <c r="D360" s="68">
        <v>1100</v>
      </c>
      <c r="E360" s="6">
        <v>7494.87</v>
      </c>
      <c r="F360" s="69">
        <v>2809.8</v>
      </c>
      <c r="G360" s="63">
        <f>E360*F360/1000</f>
        <v>21059.085726</v>
      </c>
    </row>
    <row r="361" spans="1:7" ht="15" thickBot="1">
      <c r="A361" s="33">
        <v>12</v>
      </c>
      <c r="B361" s="34" t="s">
        <v>103</v>
      </c>
      <c r="C361" s="34" t="s">
        <v>208</v>
      </c>
      <c r="D361" s="34"/>
      <c r="E361" s="64"/>
      <c r="F361" s="34"/>
      <c r="G361" s="65">
        <f>G362</f>
        <v>6857.4</v>
      </c>
    </row>
    <row r="362" spans="1:7" ht="15.75" thickBot="1">
      <c r="A362" s="38"/>
      <c r="B362" s="50" t="s">
        <v>209</v>
      </c>
      <c r="C362" s="50"/>
      <c r="D362" s="70">
        <v>1250</v>
      </c>
      <c r="E362" s="51">
        <v>6.6</v>
      </c>
      <c r="F362" s="71">
        <v>1039</v>
      </c>
      <c r="G362" s="72">
        <f>E362*F362</f>
        <v>6857.4</v>
      </c>
    </row>
    <row r="363" spans="1:7" ht="15">
      <c r="A363" s="73">
        <v>13</v>
      </c>
      <c r="B363" s="74" t="s">
        <v>210</v>
      </c>
      <c r="C363" s="75" t="s">
        <v>211</v>
      </c>
      <c r="D363" s="76" t="s">
        <v>212</v>
      </c>
      <c r="E363" s="6">
        <v>4542.6</v>
      </c>
      <c r="F363" s="77">
        <v>9</v>
      </c>
      <c r="G363" s="78">
        <f>E363*F363</f>
        <v>40883.4</v>
      </c>
    </row>
    <row r="364" spans="1:7" ht="15.75" thickBot="1">
      <c r="A364" s="49"/>
      <c r="B364" s="79" t="s">
        <v>237</v>
      </c>
      <c r="C364" s="50"/>
      <c r="D364" s="70"/>
      <c r="E364" s="51"/>
      <c r="F364" s="71"/>
      <c r="G364" s="80">
        <f>G341+G344+G346+G348+G349+G351+G353+G355+G357+G359+G361+G363</f>
        <v>136157.07882</v>
      </c>
    </row>
    <row r="365" spans="1:7" ht="15">
      <c r="A365" s="73">
        <v>14</v>
      </c>
      <c r="B365" s="74" t="s">
        <v>214</v>
      </c>
      <c r="C365" s="75"/>
      <c r="D365" s="81"/>
      <c r="E365" s="6"/>
      <c r="F365" s="77"/>
      <c r="G365" s="78">
        <f>G364*0.077</f>
        <v>10484.09506914</v>
      </c>
    </row>
    <row r="366" spans="1:7" ht="15">
      <c r="A366" s="43">
        <v>15</v>
      </c>
      <c r="B366" s="82" t="s">
        <v>95</v>
      </c>
      <c r="C366" s="45"/>
      <c r="D366" s="46"/>
      <c r="E366" s="8"/>
      <c r="F366" s="44"/>
      <c r="G366" s="83">
        <f>G365*0.21</f>
        <v>2201.6599645193996</v>
      </c>
    </row>
    <row r="367" spans="1:7" ht="15.75" thickBot="1">
      <c r="A367" s="84">
        <v>16</v>
      </c>
      <c r="B367" s="85" t="s">
        <v>91</v>
      </c>
      <c r="C367" s="86"/>
      <c r="D367" s="87"/>
      <c r="E367" s="51"/>
      <c r="F367" s="88"/>
      <c r="G367" s="89">
        <f>G368+G369+G370+G371+G372+G374+G375+G378+G379+G380+G381</f>
        <v>29053.233666666667</v>
      </c>
    </row>
    <row r="368" spans="1:7" ht="15">
      <c r="A368" s="90"/>
      <c r="B368" s="75" t="s">
        <v>105</v>
      </c>
      <c r="C368" s="75" t="s">
        <v>194</v>
      </c>
      <c r="D368" s="81"/>
      <c r="E368" s="6">
        <v>0.83</v>
      </c>
      <c r="F368" s="44">
        <v>20104.6</v>
      </c>
      <c r="G368" s="91">
        <f>E368*F368</f>
        <v>16686.818</v>
      </c>
    </row>
    <row r="369" spans="1:7" ht="15">
      <c r="A369" s="61"/>
      <c r="B369" s="45" t="s">
        <v>215</v>
      </c>
      <c r="C369" s="45" t="s">
        <v>194</v>
      </c>
      <c r="D369" s="46"/>
      <c r="E369" s="8">
        <v>0.05</v>
      </c>
      <c r="F369" s="44">
        <v>2010.4</v>
      </c>
      <c r="G369" s="92">
        <f>E369*F369</f>
        <v>100.52000000000001</v>
      </c>
    </row>
    <row r="370" spans="1:7" ht="15">
      <c r="A370" s="61"/>
      <c r="B370" s="45" t="s">
        <v>216</v>
      </c>
      <c r="C370" s="45" t="s">
        <v>194</v>
      </c>
      <c r="D370" s="46"/>
      <c r="E370" s="93">
        <v>0.08</v>
      </c>
      <c r="F370" s="44">
        <v>2010.4</v>
      </c>
      <c r="G370" s="92">
        <f>E370*F370</f>
        <v>160.83200000000002</v>
      </c>
    </row>
    <row r="371" spans="1:7" ht="15">
      <c r="A371" s="94"/>
      <c r="B371" s="45" t="s">
        <v>217</v>
      </c>
      <c r="C371" s="45" t="s">
        <v>194</v>
      </c>
      <c r="D371" s="46"/>
      <c r="E371" s="45">
        <v>0.01</v>
      </c>
      <c r="F371" s="44">
        <v>20104.6</v>
      </c>
      <c r="G371" s="92">
        <f>E371*F371</f>
        <v>201.046</v>
      </c>
    </row>
    <row r="372" spans="1:7" ht="15">
      <c r="A372" s="61"/>
      <c r="B372" s="45" t="s">
        <v>218</v>
      </c>
      <c r="C372" s="45" t="s">
        <v>219</v>
      </c>
      <c r="D372" s="46"/>
      <c r="E372" s="8">
        <v>76.1</v>
      </c>
      <c r="F372" s="44">
        <v>9</v>
      </c>
      <c r="G372" s="92">
        <f>E372*F372</f>
        <v>684.9</v>
      </c>
    </row>
    <row r="373" spans="1:7" ht="15">
      <c r="A373" s="61"/>
      <c r="B373" s="45" t="s">
        <v>220</v>
      </c>
      <c r="C373" s="45" t="s">
        <v>219</v>
      </c>
      <c r="D373" s="46"/>
      <c r="E373" s="8">
        <v>0</v>
      </c>
      <c r="F373" s="44">
        <v>9</v>
      </c>
      <c r="G373" s="92">
        <v>0</v>
      </c>
    </row>
    <row r="374" spans="1:7" ht="15">
      <c r="A374" s="61"/>
      <c r="B374" s="45" t="s">
        <v>221</v>
      </c>
      <c r="C374" s="45" t="s">
        <v>219</v>
      </c>
      <c r="D374" s="46"/>
      <c r="E374" s="8">
        <v>906.58</v>
      </c>
      <c r="F374" s="44">
        <v>9</v>
      </c>
      <c r="G374" s="92">
        <f>E374*F374</f>
        <v>8159.22</v>
      </c>
    </row>
    <row r="375" spans="1:7" ht="15">
      <c r="A375" s="61"/>
      <c r="B375" s="45" t="s">
        <v>222</v>
      </c>
      <c r="C375" s="45" t="s">
        <v>219</v>
      </c>
      <c r="D375" s="46"/>
      <c r="E375" s="93">
        <v>91.24</v>
      </c>
      <c r="F375" s="44">
        <v>9</v>
      </c>
      <c r="G375" s="92">
        <f>E375*F375</f>
        <v>821.16</v>
      </c>
    </row>
    <row r="376" spans="1:7" ht="15">
      <c r="A376" s="61"/>
      <c r="B376" s="45" t="s">
        <v>223</v>
      </c>
      <c r="C376" s="45" t="s">
        <v>194</v>
      </c>
      <c r="D376" s="46"/>
      <c r="E376" s="8">
        <v>1.2</v>
      </c>
      <c r="F376" s="44">
        <v>0</v>
      </c>
      <c r="G376" s="95">
        <v>0</v>
      </c>
    </row>
    <row r="377" spans="1:7" ht="15">
      <c r="A377" s="61"/>
      <c r="B377" s="45" t="s">
        <v>224</v>
      </c>
      <c r="C377" s="45" t="s">
        <v>219</v>
      </c>
      <c r="D377" s="46"/>
      <c r="E377" s="93">
        <f>104.9/12</f>
        <v>8.741666666666667</v>
      </c>
      <c r="F377" s="44">
        <v>0</v>
      </c>
      <c r="G377" s="95">
        <v>0</v>
      </c>
    </row>
    <row r="378" spans="1:7" ht="15">
      <c r="A378" s="61"/>
      <c r="B378" s="45" t="s">
        <v>225</v>
      </c>
      <c r="C378" s="45" t="s">
        <v>194</v>
      </c>
      <c r="D378" s="46"/>
      <c r="E378" s="8">
        <v>0.32</v>
      </c>
      <c r="F378" s="44">
        <v>20104.6</v>
      </c>
      <c r="G378" s="92">
        <f>E378*F378/12</f>
        <v>536.1226666666666</v>
      </c>
    </row>
    <row r="379" spans="1:7" ht="15">
      <c r="A379" s="61"/>
      <c r="B379" s="45" t="s">
        <v>226</v>
      </c>
      <c r="C379" s="45" t="s">
        <v>194</v>
      </c>
      <c r="D379" s="46"/>
      <c r="E379" s="8">
        <v>0.3</v>
      </c>
      <c r="F379" s="44">
        <v>20104.6</v>
      </c>
      <c r="G379" s="92">
        <f>E379*F379/12</f>
        <v>502.61499999999995</v>
      </c>
    </row>
    <row r="380" spans="1:7" ht="15">
      <c r="A380" s="61"/>
      <c r="B380" s="45" t="s">
        <v>227</v>
      </c>
      <c r="C380" s="45" t="s">
        <v>219</v>
      </c>
      <c r="D380" s="46"/>
      <c r="E380" s="8">
        <v>300</v>
      </c>
      <c r="F380" s="44">
        <v>2</v>
      </c>
      <c r="G380" s="92">
        <f>E380*F380</f>
        <v>600</v>
      </c>
    </row>
    <row r="381" spans="1:7" ht="15.75" thickBot="1">
      <c r="A381" s="96"/>
      <c r="B381" s="50" t="s">
        <v>238</v>
      </c>
      <c r="C381" s="50" t="s">
        <v>219</v>
      </c>
      <c r="D381" s="70"/>
      <c r="E381" s="51">
        <v>300</v>
      </c>
      <c r="F381" s="71">
        <v>2</v>
      </c>
      <c r="G381" s="72">
        <f>E381*F381</f>
        <v>600</v>
      </c>
    </row>
    <row r="382" spans="1:7" ht="15">
      <c r="A382" s="66">
        <v>17</v>
      </c>
      <c r="B382" s="97" t="s">
        <v>229</v>
      </c>
      <c r="C382" s="67"/>
      <c r="D382" s="68"/>
      <c r="E382" s="6"/>
      <c r="F382" s="69"/>
      <c r="G382" s="98">
        <f>G383+G384</f>
        <v>282.2126688333334</v>
      </c>
    </row>
    <row r="383" spans="1:7" ht="15">
      <c r="A383" s="43"/>
      <c r="B383" s="44" t="s">
        <v>244</v>
      </c>
      <c r="C383" s="45" t="s">
        <v>231</v>
      </c>
      <c r="D383" s="46"/>
      <c r="E383" s="93">
        <f>1.1*15.51*1.1</f>
        <v>18.767100000000003</v>
      </c>
      <c r="F383" s="44">
        <v>60.46</v>
      </c>
      <c r="G383" s="92">
        <f>E383*F383/12</f>
        <v>94.55490550000002</v>
      </c>
    </row>
    <row r="384" spans="1:7" ht="15">
      <c r="A384" s="43"/>
      <c r="B384" s="44" t="s">
        <v>232</v>
      </c>
      <c r="C384" s="45" t="s">
        <v>231</v>
      </c>
      <c r="D384" s="46"/>
      <c r="E384" s="93">
        <f>1.1*33.86</f>
        <v>37.246</v>
      </c>
      <c r="F384" s="44">
        <v>60.46</v>
      </c>
      <c r="G384" s="92">
        <f>E384*F384/12</f>
        <v>187.65776333333335</v>
      </c>
    </row>
    <row r="385" spans="1:7" ht="15">
      <c r="A385" s="43">
        <v>18</v>
      </c>
      <c r="B385" s="99" t="s">
        <v>107</v>
      </c>
      <c r="C385" s="45" t="s">
        <v>194</v>
      </c>
      <c r="D385" s="46"/>
      <c r="E385" s="8">
        <v>0.5</v>
      </c>
      <c r="F385" s="44">
        <v>20104.6</v>
      </c>
      <c r="G385" s="100">
        <f>E385*F385</f>
        <v>10052.3</v>
      </c>
    </row>
    <row r="386" spans="1:7" ht="15.75" thickBot="1">
      <c r="A386" s="43">
        <v>19</v>
      </c>
      <c r="B386" s="99" t="s">
        <v>233</v>
      </c>
      <c r="C386" s="45" t="s">
        <v>194</v>
      </c>
      <c r="D386" s="46"/>
      <c r="E386" s="8">
        <v>1.1</v>
      </c>
      <c r="F386" s="44">
        <v>20104.6</v>
      </c>
      <c r="G386" s="83">
        <f>E386*F386</f>
        <v>22115.06</v>
      </c>
    </row>
    <row r="387" spans="1:7" ht="15">
      <c r="A387" s="73"/>
      <c r="B387" s="101" t="s">
        <v>234</v>
      </c>
      <c r="C387" s="75"/>
      <c r="D387" s="81"/>
      <c r="E387" s="6"/>
      <c r="F387" s="77"/>
      <c r="G387" s="78">
        <f>G364+G365+G366+G367+G382+G385+G386</f>
        <v>210345.64018915937</v>
      </c>
    </row>
    <row r="388" spans="1:7" ht="15">
      <c r="A388" s="44" t="s">
        <v>252</v>
      </c>
      <c r="B388" s="45"/>
      <c r="C388" s="46"/>
      <c r="D388" s="8"/>
      <c r="E388" s="44"/>
      <c r="F388" s="44"/>
      <c r="G388" s="102">
        <f>G387/F343</f>
        <v>10.46256280598268</v>
      </c>
    </row>
    <row r="389" spans="1:7" ht="15">
      <c r="A389" s="53"/>
      <c r="B389" s="54"/>
      <c r="C389" s="55"/>
      <c r="D389" s="103"/>
      <c r="E389" s="8"/>
      <c r="F389" s="54"/>
      <c r="G389" s="104"/>
    </row>
    <row r="390" spans="1:7" ht="14.25">
      <c r="A390" s="105"/>
      <c r="B390" s="106"/>
      <c r="C390" s="107"/>
      <c r="D390" s="11"/>
      <c r="E390" s="108"/>
      <c r="F390" s="109"/>
      <c r="G390" s="110"/>
    </row>
    <row r="391" spans="1:7" ht="15" thickBot="1">
      <c r="A391" s="49">
        <v>20</v>
      </c>
      <c r="B391" s="79" t="s">
        <v>56</v>
      </c>
      <c r="C391" s="79"/>
      <c r="D391" s="111"/>
      <c r="E391" s="112">
        <v>2.64</v>
      </c>
      <c r="F391" s="114">
        <f>F343</f>
        <v>20104.6</v>
      </c>
      <c r="G391" s="113">
        <f>E391*F391</f>
        <v>53076.144</v>
      </c>
    </row>
    <row r="392" spans="1:7" ht="14.25">
      <c r="A392" s="13"/>
      <c r="B392" s="118"/>
      <c r="C392" s="118"/>
      <c r="D392" s="119"/>
      <c r="E392" s="13"/>
      <c r="F392" s="118"/>
      <c r="G392" s="119"/>
    </row>
    <row r="393" spans="1:6" ht="15">
      <c r="A393" s="7"/>
      <c r="B393" s="120" t="s">
        <v>247</v>
      </c>
      <c r="C393" s="120" t="s">
        <v>248</v>
      </c>
      <c r="D393" s="121" t="s">
        <v>135</v>
      </c>
      <c r="E393" s="121"/>
      <c r="F393" s="120"/>
    </row>
    <row r="394" spans="1:6" ht="15">
      <c r="A394" s="7"/>
      <c r="B394" s="120"/>
      <c r="C394" s="120"/>
      <c r="D394" s="121"/>
      <c r="E394" s="121"/>
      <c r="F394" s="120"/>
    </row>
    <row r="395" spans="1:5" ht="13.5" customHeight="1">
      <c r="A395" s="7"/>
      <c r="B395" s="1" t="s">
        <v>249</v>
      </c>
      <c r="D395" s="1" t="s">
        <v>171</v>
      </c>
      <c r="E395" s="26"/>
    </row>
    <row r="396" spans="1:5" ht="13.5" customHeight="1">
      <c r="A396" s="7"/>
      <c r="E396" s="26"/>
    </row>
    <row r="397" spans="1:4" ht="15">
      <c r="A397" s="7"/>
      <c r="B397" s="1" t="s">
        <v>250</v>
      </c>
      <c r="D397" s="122" t="s">
        <v>251</v>
      </c>
    </row>
  </sheetData>
  <mergeCells count="21">
    <mergeCell ref="A337:A338"/>
    <mergeCell ref="B337:G337"/>
    <mergeCell ref="B338:G338"/>
    <mergeCell ref="A225:A226"/>
    <mergeCell ref="B225:G225"/>
    <mergeCell ref="B226:G226"/>
    <mergeCell ref="A281:A282"/>
    <mergeCell ref="B281:G281"/>
    <mergeCell ref="B282:G282"/>
    <mergeCell ref="A113:A114"/>
    <mergeCell ref="B113:G113"/>
    <mergeCell ref="B114:G114"/>
    <mergeCell ref="A169:A170"/>
    <mergeCell ref="B169:G169"/>
    <mergeCell ref="B170:G170"/>
    <mergeCell ref="A1:A2"/>
    <mergeCell ref="B1:G1"/>
    <mergeCell ref="B2:G2"/>
    <mergeCell ref="A57:A58"/>
    <mergeCell ref="B57:G57"/>
    <mergeCell ref="B58:G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2011-02-25T06:45:28Z</dcterms:modified>
  <cp:category/>
  <cp:version/>
  <cp:contentType/>
  <cp:contentStatus/>
</cp:coreProperties>
</file>